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865" yWindow="3495" windowWidth="13020" windowHeight="9645"/>
  </bookViews>
  <sheets>
    <sheet name="Sheet1" sheetId="1" r:id="rId1"/>
    <sheet name="Sheet2" sheetId="2" r:id="rId2"/>
    <sheet name="Sheet3" sheetId="3" r:id="rId3"/>
  </sheets>
  <definedNames>
    <definedName name="_xlnm.Print_Area" localSheetId="0">Sheet1!$A$1:$F$1730</definedName>
    <definedName name="_xlnm.Print_Titles" localSheetId="0">Sheet1!$13:$15</definedName>
  </definedNames>
  <calcPr calcId="124519"/>
</workbook>
</file>

<file path=xl/calcChain.xml><?xml version="1.0" encoding="utf-8"?>
<calcChain xmlns="http://schemas.openxmlformats.org/spreadsheetml/2006/main">
  <c r="E1708" i="1"/>
  <c r="F1708"/>
  <c r="E1707"/>
  <c r="F1707" s="1"/>
  <c r="E1706"/>
  <c r="F1706"/>
  <c r="E1705"/>
  <c r="F1705" s="1"/>
  <c r="A1705"/>
  <c r="A1706"/>
  <c r="A1707"/>
  <c r="A1708" s="1"/>
  <c r="E1704"/>
  <c r="F1704"/>
  <c r="A1699"/>
  <c r="A1700" s="1"/>
  <c r="A1701" s="1"/>
  <c r="A1702" s="1"/>
  <c r="A1693"/>
  <c r="A1694" s="1"/>
  <c r="A1695" s="1"/>
  <c r="A1696" s="1"/>
  <c r="E1688"/>
  <c r="E1687"/>
  <c r="E1681"/>
  <c r="E1680"/>
  <c r="E1679"/>
  <c r="A1678"/>
  <c r="A1679" s="1"/>
  <c r="A1680" s="1"/>
  <c r="A1681" s="1"/>
  <c r="A1682" s="1"/>
  <c r="A1683" s="1"/>
  <c r="A1684" s="1"/>
  <c r="A1685" s="1"/>
  <c r="A1686" s="1"/>
  <c r="A1687" s="1"/>
  <c r="A1688" s="1"/>
  <c r="A1689" s="1"/>
  <c r="A1654"/>
  <c r="A1656" s="1"/>
  <c r="A1657" s="1"/>
  <c r="A1658" s="1"/>
  <c r="A1659" s="1"/>
  <c r="A1660" s="1"/>
  <c r="A1661" s="1"/>
  <c r="A1662" s="1"/>
  <c r="A1665" s="1"/>
  <c r="A1667" s="1"/>
  <c r="A1669" s="1"/>
  <c r="A1670" s="1"/>
  <c r="A1671" s="1"/>
  <c r="A1672" s="1"/>
  <c r="A1673" s="1"/>
  <c r="A1674" s="1"/>
  <c r="A1675" s="1"/>
  <c r="D1648"/>
  <c r="D1647"/>
  <c r="D1645"/>
  <c r="A1563"/>
  <c r="A1565" s="1"/>
  <c r="A1566" s="1"/>
  <c r="A1568" s="1"/>
  <c r="A1569" s="1"/>
  <c r="A1571" s="1"/>
  <c r="A1572" s="1"/>
  <c r="A1574" s="1"/>
  <c r="A1575" s="1"/>
  <c r="A1577" s="1"/>
  <c r="A1578" s="1"/>
  <c r="A1580" s="1"/>
  <c r="A1581" s="1"/>
  <c r="A1583" s="1"/>
  <c r="A1584" s="1"/>
  <c r="A1586" s="1"/>
  <c r="A1587" s="1"/>
  <c r="A1589" s="1"/>
  <c r="A1590" s="1"/>
  <c r="A1592" s="1"/>
  <c r="A1593" s="1"/>
  <c r="A1595" s="1"/>
  <c r="A1596" s="1"/>
  <c r="A1598" s="1"/>
  <c r="A1599" s="1"/>
  <c r="A1600" s="1"/>
  <c r="A1602" s="1"/>
  <c r="A1603" s="1"/>
  <c r="A1604" s="1"/>
  <c r="A1605" s="1"/>
  <c r="A1606" s="1"/>
  <c r="A1607" s="1"/>
  <c r="A1608" s="1"/>
  <c r="A1610" s="1"/>
  <c r="A1611" s="1"/>
  <c r="A1612" s="1"/>
  <c r="A1613" s="1"/>
  <c r="A1614" s="1"/>
  <c r="A1615" s="1"/>
  <c r="A1618" s="1"/>
  <c r="A1619" s="1"/>
  <c r="A1621" s="1"/>
  <c r="A1622" s="1"/>
  <c r="A1624" s="1"/>
  <c r="A1625" s="1"/>
  <c r="A1627" s="1"/>
  <c r="A1628" s="1"/>
  <c r="A1630" s="1"/>
  <c r="A1631" s="1"/>
  <c r="A1633" s="1"/>
  <c r="A1634" s="1"/>
  <c r="A1636" s="1"/>
  <c r="A1637" s="1"/>
  <c r="A1639" s="1"/>
  <c r="A1640" s="1"/>
  <c r="A1642" s="1"/>
  <c r="A1643" s="1"/>
  <c r="A1645" s="1"/>
  <c r="A1646" s="1"/>
  <c r="A1647" s="1"/>
  <c r="A1648" s="1"/>
  <c r="A1552"/>
  <c r="A1553"/>
  <c r="A1554"/>
  <c r="A1555" s="1"/>
  <c r="A1556" s="1"/>
  <c r="A1557" s="1"/>
  <c r="A1558" s="1"/>
  <c r="A1533"/>
  <c r="A1534" s="1"/>
  <c r="A1535" s="1"/>
  <c r="A1536" s="1"/>
  <c r="A1537" s="1"/>
  <c r="A1538" s="1"/>
  <c r="A1539" s="1"/>
  <c r="A1540" s="1"/>
  <c r="A1541" s="1"/>
  <c r="A1542" s="1"/>
  <c r="A1543" s="1"/>
  <c r="A1544" s="1"/>
  <c r="A1545" s="1"/>
  <c r="A1547" s="1"/>
  <c r="A1548" s="1"/>
  <c r="A1521"/>
  <c r="A1522" s="1"/>
  <c r="A1523" s="1"/>
  <c r="A1524" s="1"/>
  <c r="A1525" s="1"/>
  <c r="A1526" s="1"/>
  <c r="A1528" s="1"/>
  <c r="A1529" s="1"/>
  <c r="A1530" s="1"/>
  <c r="D1516"/>
  <c r="D1515"/>
  <c r="D1514"/>
  <c r="D1513"/>
  <c r="D1512"/>
  <c r="D1511"/>
  <c r="D1510"/>
  <c r="D1509"/>
  <c r="D1508"/>
  <c r="D1507"/>
  <c r="D1506"/>
  <c r="D1505"/>
  <c r="D1504"/>
  <c r="D1503"/>
  <c r="A1503"/>
  <c r="A1504"/>
  <c r="A1505" s="1"/>
  <c r="A1506" s="1"/>
  <c r="A1507" s="1"/>
  <c r="A1508" s="1"/>
  <c r="A1509" s="1"/>
  <c r="A1510" s="1"/>
  <c r="A1511" s="1"/>
  <c r="A1512" s="1"/>
  <c r="A1513" s="1"/>
  <c r="A1514" s="1"/>
  <c r="A1515" s="1"/>
  <c r="A1516" s="1"/>
  <c r="D1502"/>
  <c r="E1500"/>
  <c r="E1499"/>
  <c r="E1498"/>
  <c r="E1497"/>
  <c r="E1496"/>
  <c r="E1495"/>
  <c r="E1494"/>
  <c r="E1493"/>
  <c r="E1492"/>
  <c r="E1491"/>
  <c r="E1490"/>
  <c r="E1489"/>
  <c r="A1489"/>
  <c r="A1490"/>
  <c r="A1491"/>
  <c r="A1492" s="1"/>
  <c r="A1493" s="1"/>
  <c r="A1494" s="1"/>
  <c r="A1495" s="1"/>
  <c r="A1496" s="1"/>
  <c r="A1497" s="1"/>
  <c r="A1498" s="1"/>
  <c r="A1499" s="1"/>
  <c r="A1500" s="1"/>
  <c r="E1488"/>
  <c r="A1478"/>
  <c r="A1479"/>
  <c r="A1480" s="1"/>
  <c r="A1481" s="1"/>
  <c r="A1482" s="1"/>
  <c r="A1483" s="1"/>
  <c r="A1484" s="1"/>
  <c r="A1485" s="1"/>
  <c r="A1486" s="1"/>
  <c r="A1474"/>
  <c r="A1475" s="1"/>
  <c r="A1469"/>
  <c r="A1470"/>
  <c r="A1471"/>
  <c r="A1445"/>
  <c r="A1446" s="1"/>
  <c r="A1447" s="1"/>
  <c r="A1448" s="1"/>
  <c r="A1449" s="1"/>
  <c r="A1450" s="1"/>
  <c r="A1451" s="1"/>
  <c r="A1452" s="1"/>
  <c r="A1453" s="1"/>
  <c r="A1454" s="1"/>
  <c r="A1455" s="1"/>
  <c r="A1456" s="1"/>
  <c r="A1457" s="1"/>
  <c r="A1458" s="1"/>
  <c r="A1459" s="1"/>
  <c r="A1460" s="1"/>
  <c r="A1461" s="1"/>
  <c r="A1462" s="1"/>
  <c r="A1463" s="1"/>
  <c r="A1464" s="1"/>
  <c r="A1465" s="1"/>
  <c r="A1466" s="1"/>
  <c r="A1428"/>
  <c r="A1429"/>
  <c r="A1430" s="1"/>
  <c r="A1431" s="1"/>
  <c r="A1432" s="1"/>
  <c r="A1433" s="1"/>
  <c r="A1434" s="1"/>
  <c r="A1435" s="1"/>
  <c r="A1436" s="1"/>
  <c r="A1437" s="1"/>
  <c r="A1438" s="1"/>
  <c r="A1439" s="1"/>
  <c r="A1440" s="1"/>
  <c r="A1441" s="1"/>
  <c r="A1442" s="1"/>
  <c r="A1329"/>
  <c r="A1330"/>
  <c r="A1331"/>
  <c r="A1332" s="1"/>
  <c r="A1333" s="1"/>
  <c r="A1334" s="1"/>
  <c r="A1335" s="1"/>
  <c r="A1336" s="1"/>
  <c r="A1337" s="1"/>
  <c r="A1338" s="1"/>
  <c r="A1339" s="1"/>
  <c r="A1340" s="1"/>
  <c r="A1341" s="1"/>
  <c r="A1342" s="1"/>
  <c r="A1343" s="1"/>
  <c r="A1344" s="1"/>
  <c r="A1345" s="1"/>
  <c r="A1346" s="1"/>
  <c r="A1347" s="1"/>
  <c r="A1348" s="1"/>
  <c r="A1349" s="1"/>
  <c r="A1350" s="1"/>
  <c r="A1351" s="1"/>
  <c r="A1352" s="1"/>
  <c r="A1353" s="1"/>
  <c r="A1354" s="1"/>
  <c r="A1355" s="1"/>
  <c r="A1356" s="1"/>
  <c r="A1357" s="1"/>
  <c r="A1358" s="1"/>
  <c r="A1359" s="1"/>
  <c r="A1360" s="1"/>
  <c r="A1361" s="1"/>
  <c r="A1362" s="1"/>
  <c r="A1363" s="1"/>
  <c r="A1364" s="1"/>
  <c r="A1365" s="1"/>
  <c r="A1366" s="1"/>
  <c r="A1367" s="1"/>
  <c r="A1368" s="1"/>
  <c r="A1369" s="1"/>
  <c r="A1370" s="1"/>
  <c r="A1371" s="1"/>
  <c r="A1372" s="1"/>
  <c r="A1373" s="1"/>
  <c r="A1374" s="1"/>
  <c r="A1375" s="1"/>
  <c r="A1376" s="1"/>
  <c r="A1377" s="1"/>
  <c r="A1378" s="1"/>
  <c r="A1379" s="1"/>
  <c r="A1380" s="1"/>
  <c r="A1381" s="1"/>
  <c r="A1382" s="1"/>
  <c r="A1383" s="1"/>
  <c r="A1384" s="1"/>
  <c r="A1385" s="1"/>
  <c r="A1386" s="1"/>
  <c r="A1387" s="1"/>
  <c r="A1388" s="1"/>
  <c r="A1389" s="1"/>
  <c r="A1390" s="1"/>
  <c r="A1391" s="1"/>
  <c r="A1392" s="1"/>
  <c r="A1393" s="1"/>
  <c r="A1394" s="1"/>
  <c r="A1395" s="1"/>
  <c r="A1396" s="1"/>
  <c r="A1397" s="1"/>
  <c r="A1398" s="1"/>
  <c r="A1399" s="1"/>
  <c r="A1400" s="1"/>
  <c r="A1401" s="1"/>
  <c r="A1402" s="1"/>
  <c r="A1403" s="1"/>
  <c r="A1404" s="1"/>
  <c r="A1405" s="1"/>
  <c r="A1406" s="1"/>
  <c r="A1407" s="1"/>
  <c r="A1408" s="1"/>
  <c r="A1409" s="1"/>
  <c r="A1411" s="1"/>
  <c r="A1412" s="1"/>
  <c r="A1413" s="1"/>
  <c r="A1414" s="1"/>
  <c r="A1415" s="1"/>
  <c r="A1416" s="1"/>
  <c r="A1417" s="1"/>
  <c r="A1418" s="1"/>
  <c r="A1419" s="1"/>
  <c r="A1420" s="1"/>
  <c r="A1421" s="1"/>
  <c r="A1422" s="1"/>
  <c r="A1423" s="1"/>
  <c r="A1424" s="1"/>
  <c r="A1425" s="1"/>
  <c r="E1326"/>
  <c r="E1325"/>
  <c r="E1324"/>
  <c r="E1323"/>
  <c r="E1322"/>
  <c r="E1321"/>
  <c r="E1320"/>
  <c r="E1319"/>
  <c r="A1319"/>
  <c r="A1320"/>
  <c r="A1321"/>
  <c r="A1322" s="1"/>
  <c r="A1323" s="1"/>
  <c r="A1324" s="1"/>
  <c r="A1325" s="1"/>
  <c r="A1326" s="1"/>
  <c r="E1318"/>
  <c r="E1316"/>
  <c r="E1315"/>
  <c r="A1315"/>
  <c r="A1316" s="1"/>
  <c r="E1314"/>
  <c r="E1311"/>
  <c r="E1310"/>
  <c r="E1309"/>
  <c r="E1308"/>
  <c r="E1307"/>
  <c r="E1306"/>
  <c r="E1305"/>
  <c r="E1304"/>
  <c r="E1303"/>
  <c r="E1302"/>
  <c r="E1301"/>
  <c r="E1300"/>
  <c r="E1298"/>
  <c r="E1297"/>
  <c r="E1296"/>
  <c r="E1295"/>
  <c r="E1294"/>
  <c r="E1293"/>
  <c r="E1292"/>
  <c r="E1291"/>
  <c r="E1290"/>
  <c r="E1289"/>
  <c r="E1288"/>
  <c r="E1287"/>
  <c r="E1286"/>
  <c r="E1264"/>
  <c r="E1263"/>
  <c r="E1262"/>
  <c r="E1261"/>
  <c r="E1260"/>
  <c r="E1259"/>
  <c r="E1258"/>
  <c r="E1257"/>
  <c r="E1256"/>
  <c r="E1255"/>
  <c r="E1254"/>
  <c r="E1253"/>
  <c r="E1252"/>
  <c r="E1251"/>
  <c r="E1250"/>
  <c r="E1249"/>
  <c r="E1248"/>
  <c r="E1247"/>
  <c r="E1246"/>
  <c r="E1245"/>
  <c r="E1244"/>
  <c r="E1242"/>
  <c r="E1241"/>
  <c r="E1240"/>
  <c r="E1239"/>
  <c r="E1238"/>
  <c r="E1237"/>
  <c r="E1236"/>
  <c r="E1235"/>
  <c r="E1234"/>
  <c r="E1233"/>
  <c r="E1232"/>
  <c r="E1231"/>
  <c r="E1230"/>
  <c r="E1229"/>
  <c r="E1228"/>
  <c r="E1227"/>
  <c r="E1226"/>
  <c r="E1225"/>
  <c r="E1224"/>
  <c r="E1223"/>
  <c r="E1222"/>
  <c r="E1221"/>
  <c r="A1221"/>
  <c r="A1224" s="1"/>
  <c r="A1227" s="1"/>
  <c r="A1230" s="1"/>
  <c r="A1233" s="1"/>
  <c r="A1236" s="1"/>
  <c r="A1239" s="1"/>
  <c r="A1242" s="1"/>
  <c r="A1244" s="1"/>
  <c r="A1245" s="1"/>
  <c r="A1246" s="1"/>
  <c r="A1247" s="1"/>
  <c r="A1248" s="1"/>
  <c r="A1249" s="1"/>
  <c r="A1250" s="1"/>
  <c r="A1251" s="1"/>
  <c r="A1252" s="1"/>
  <c r="A1253" s="1"/>
  <c r="A1254" s="1"/>
  <c r="A1255" s="1"/>
  <c r="A1256" s="1"/>
  <c r="A1257" s="1"/>
  <c r="A1258" s="1"/>
  <c r="A1259" s="1"/>
  <c r="A1260" s="1"/>
  <c r="A1261" s="1"/>
  <c r="A1262" s="1"/>
  <c r="A1263" s="1"/>
  <c r="A1264" s="1"/>
  <c r="A1266" s="1"/>
  <c r="A1267" s="1"/>
  <c r="A1268" s="1"/>
  <c r="A1269" s="1"/>
  <c r="A1270" s="1"/>
  <c r="A1271" s="1"/>
  <c r="A1272" s="1"/>
  <c r="A1273" s="1"/>
  <c r="A1274" s="1"/>
  <c r="A1275" s="1"/>
  <c r="A1276" s="1"/>
  <c r="A1277" s="1"/>
  <c r="A1278" s="1"/>
  <c r="A1279" s="1"/>
  <c r="A1280" s="1"/>
  <c r="A1281" s="1"/>
  <c r="A1282" s="1"/>
  <c r="A1283" s="1"/>
  <c r="A1284" s="1"/>
  <c r="A1286" s="1"/>
  <c r="E1220"/>
  <c r="E1219"/>
  <c r="A1219"/>
  <c r="A1222"/>
  <c r="A1225" s="1"/>
  <c r="A1228" s="1"/>
  <c r="A1231" s="1"/>
  <c r="A1234" s="1"/>
  <c r="A1237" s="1"/>
  <c r="A1240" s="1"/>
  <c r="E1218"/>
  <c r="F1215"/>
  <c r="F1214"/>
  <c r="F1213"/>
  <c r="F1212"/>
  <c r="F1211"/>
  <c r="F1210"/>
  <c r="F1209"/>
  <c r="F1208"/>
  <c r="F1207"/>
  <c r="F1206"/>
  <c r="F1205"/>
  <c r="F1204"/>
  <c r="F1202"/>
  <c r="F1201"/>
  <c r="F1200"/>
  <c r="F1199"/>
  <c r="F1198"/>
  <c r="F1197"/>
  <c r="F1196"/>
  <c r="F1195"/>
  <c r="F1194"/>
  <c r="F1193"/>
  <c r="F1192"/>
  <c r="F1191"/>
  <c r="F1190"/>
  <c r="F1189"/>
  <c r="F1188"/>
  <c r="F1187"/>
  <c r="F1186"/>
  <c r="F1185"/>
  <c r="F1184"/>
  <c r="F1183"/>
  <c r="F1182"/>
  <c r="F1181"/>
  <c r="F1179"/>
  <c r="F1178"/>
  <c r="F1177"/>
  <c r="F1176"/>
  <c r="F1175"/>
  <c r="F1174"/>
  <c r="F1173"/>
  <c r="F1172"/>
  <c r="F1171"/>
  <c r="F1170"/>
  <c r="F1169"/>
  <c r="F1168"/>
  <c r="A1168"/>
  <c r="A1169"/>
  <c r="A1170"/>
  <c r="A1171" s="1"/>
  <c r="A1172" s="1"/>
  <c r="A1173" s="1"/>
  <c r="A1174" s="1"/>
  <c r="A1175" s="1"/>
  <c r="A1176" s="1"/>
  <c r="A1177" s="1"/>
  <c r="A1178" s="1"/>
  <c r="A1179" s="1"/>
  <c r="A1181" s="1"/>
  <c r="A1182" s="1"/>
  <c r="A1183" s="1"/>
  <c r="A1184" s="1"/>
  <c r="A1185" s="1"/>
  <c r="A1186" s="1"/>
  <c r="A1187" s="1"/>
  <c r="A1188" s="1"/>
  <c r="A1189" s="1"/>
  <c r="A1190" s="1"/>
  <c r="A1191" s="1"/>
  <c r="A1192" s="1"/>
  <c r="A1193" s="1"/>
  <c r="A1194" s="1"/>
  <c r="A1195" s="1"/>
  <c r="A1196" s="1"/>
  <c r="A1197" s="1"/>
  <c r="A1198" s="1"/>
  <c r="A1199" s="1"/>
  <c r="A1200" s="1"/>
  <c r="A1201" s="1"/>
  <c r="A1202" s="1"/>
  <c r="A1204" s="1"/>
  <c r="A1205" s="1"/>
  <c r="A1206" s="1"/>
  <c r="A1207" s="1"/>
  <c r="A1208" s="1"/>
  <c r="A1209" s="1"/>
  <c r="A1210" s="1"/>
  <c r="A1211" s="1"/>
  <c r="A1212" s="1"/>
  <c r="A1213" s="1"/>
  <c r="A1214" s="1"/>
  <c r="A1215" s="1"/>
  <c r="F1167"/>
  <c r="F1135"/>
  <c r="F1134"/>
  <c r="F1133"/>
  <c r="F1132"/>
  <c r="F1131"/>
  <c r="F1130"/>
  <c r="F1129"/>
  <c r="F1128"/>
  <c r="F1127"/>
  <c r="F1126"/>
  <c r="F1125"/>
  <c r="F1124"/>
  <c r="F1123"/>
  <c r="A1123"/>
  <c r="A1124"/>
  <c r="A1125"/>
  <c r="A1126" s="1"/>
  <c r="A1127" s="1"/>
  <c r="A1128" s="1"/>
  <c r="A1129" s="1"/>
  <c r="A1130" s="1"/>
  <c r="A1131" s="1"/>
  <c r="A1132" s="1"/>
  <c r="A1133" s="1"/>
  <c r="A1134" s="1"/>
  <c r="A1135" s="1"/>
  <c r="A1137" s="1"/>
  <c r="A1138" s="1"/>
  <c r="A1139" s="1"/>
  <c r="A1140" s="1"/>
  <c r="A1141" s="1"/>
  <c r="A1143" s="1"/>
  <c r="A1144" s="1"/>
  <c r="A1145" s="1"/>
  <c r="A1147" s="1"/>
  <c r="A1148" s="1"/>
  <c r="A1149" s="1"/>
  <c r="A1151" s="1"/>
  <c r="A1152" s="1"/>
  <c r="A1153" s="1"/>
  <c r="A1154" s="1"/>
  <c r="A1155" s="1"/>
  <c r="A1156" s="1"/>
  <c r="A1157" s="1"/>
  <c r="A1158" s="1"/>
  <c r="A1159" s="1"/>
  <c r="A1160" s="1"/>
  <c r="A1161" s="1"/>
  <c r="A1162" s="1"/>
  <c r="A1163" s="1"/>
  <c r="A1164" s="1"/>
  <c r="F1122"/>
  <c r="F1119"/>
  <c r="F1118"/>
  <c r="F1117"/>
  <c r="F1116"/>
  <c r="F1115"/>
  <c r="F1114"/>
  <c r="F1113"/>
  <c r="A1028"/>
  <c r="A1029" s="1"/>
  <c r="A1030" s="1"/>
  <c r="A1031" s="1"/>
  <c r="A1032" s="1"/>
  <c r="A1033" s="1"/>
  <c r="A1034" s="1"/>
  <c r="A1035" s="1"/>
  <c r="A1036" s="1"/>
  <c r="A1037" s="1"/>
  <c r="A1039" s="1"/>
  <c r="A1040" s="1"/>
  <c r="A1041" s="1"/>
  <c r="A1042" s="1"/>
  <c r="A1043" s="1"/>
  <c r="A1044" s="1"/>
  <c r="A1045" s="1"/>
  <c r="A1046" s="1"/>
  <c r="A1047" s="1"/>
  <c r="A1049" s="1"/>
  <c r="A1050" s="1"/>
  <c r="A1052" s="1"/>
  <c r="A1053" s="1"/>
  <c r="A1055" s="1"/>
  <c r="A1056" s="1"/>
  <c r="A1057" s="1"/>
  <c r="A1058" s="1"/>
  <c r="A1059" s="1"/>
  <c r="A1060" s="1"/>
  <c r="A1061" s="1"/>
  <c r="A1062" s="1"/>
  <c r="A1063" s="1"/>
  <c r="A1064" s="1"/>
  <c r="A1065" s="1"/>
  <c r="A1066" s="1"/>
  <c r="A1067" s="1"/>
  <c r="A1068" s="1"/>
  <c r="A1069" s="1"/>
  <c r="A1070" s="1"/>
  <c r="A1071" s="1"/>
  <c r="A1072" s="1"/>
  <c r="A1073" s="1"/>
  <c r="A1074" s="1"/>
  <c r="A1075" s="1"/>
  <c r="A1076" s="1"/>
  <c r="A1077" s="1"/>
  <c r="A1078" s="1"/>
  <c r="A1079" s="1"/>
  <c r="A1080" s="1"/>
  <c r="A1081" s="1"/>
  <c r="A1082" s="1"/>
  <c r="A1083" s="1"/>
  <c r="A1084" s="1"/>
  <c r="A1085" s="1"/>
  <c r="A1086" s="1"/>
  <c r="A1087" s="1"/>
  <c r="A1088" s="1"/>
  <c r="A1089" s="1"/>
  <c r="A1090" s="1"/>
  <c r="A1091" s="1"/>
  <c r="A1092" s="1"/>
  <c r="A1094" s="1"/>
  <c r="A1095" s="1"/>
  <c r="A1096" s="1"/>
  <c r="A1097" s="1"/>
  <c r="A1098" s="1"/>
  <c r="A1099" s="1"/>
  <c r="A1100" s="1"/>
  <c r="A1101" s="1"/>
  <c r="A1102" s="1"/>
  <c r="A1103" s="1"/>
  <c r="A1104" s="1"/>
  <c r="A1105" s="1"/>
  <c r="A1106" s="1"/>
  <c r="A1107" s="1"/>
  <c r="A1108" s="1"/>
  <c r="A1109" s="1"/>
  <c r="A1110" s="1"/>
  <c r="A1111" s="1"/>
  <c r="A1113" s="1"/>
  <c r="A1114" s="1"/>
  <c r="A1115" s="1"/>
  <c r="A1116" s="1"/>
  <c r="A1117" s="1"/>
  <c r="A1118" s="1"/>
  <c r="A1119" s="1"/>
  <c r="F1024"/>
  <c r="E1024"/>
  <c r="F1023"/>
  <c r="E1023"/>
  <c r="F1022"/>
  <c r="E1022"/>
  <c r="F1021"/>
  <c r="E1021"/>
  <c r="F1020"/>
  <c r="E1020"/>
  <c r="F1019"/>
  <c r="E1019"/>
  <c r="F1018"/>
  <c r="E1018"/>
  <c r="F1017"/>
  <c r="E1017"/>
  <c r="F1016"/>
  <c r="E1016"/>
  <c r="F1015"/>
  <c r="E1015"/>
  <c r="F1014"/>
  <c r="E1014"/>
  <c r="F1013"/>
  <c r="E1013"/>
  <c r="F1012"/>
  <c r="E1012"/>
  <c r="F1011"/>
  <c r="E1011"/>
  <c r="F1010"/>
  <c r="E1010"/>
  <c r="F1009"/>
  <c r="E1009"/>
  <c r="F1008"/>
  <c r="E1008"/>
  <c r="F1007"/>
  <c r="E1007"/>
  <c r="F1006"/>
  <c r="E1006"/>
  <c r="F1005"/>
  <c r="E1005"/>
  <c r="F1004"/>
  <c r="E1004"/>
  <c r="F1003"/>
  <c r="E1003"/>
  <c r="F1002"/>
  <c r="E1002"/>
  <c r="F1000"/>
  <c r="E1000"/>
  <c r="F999"/>
  <c r="E999"/>
  <c r="F998"/>
  <c r="E998"/>
  <c r="F997"/>
  <c r="E997"/>
  <c r="F996"/>
  <c r="E996"/>
  <c r="F995"/>
  <c r="E995"/>
  <c r="F994"/>
  <c r="E994"/>
  <c r="F993"/>
  <c r="E993"/>
  <c r="F992"/>
  <c r="E992"/>
  <c r="F991"/>
  <c r="E991"/>
  <c r="F990"/>
  <c r="E990"/>
  <c r="F989"/>
  <c r="E989"/>
  <c r="F988"/>
  <c r="E988"/>
  <c r="F987"/>
  <c r="E987"/>
  <c r="F986"/>
  <c r="E986"/>
  <c r="F985"/>
  <c r="E985"/>
  <c r="F984"/>
  <c r="E984"/>
  <c r="F983"/>
  <c r="E983"/>
  <c r="F982"/>
  <c r="E982"/>
  <c r="F981"/>
  <c r="E981"/>
  <c r="F980"/>
  <c r="E980"/>
  <c r="F979"/>
  <c r="E979"/>
  <c r="F978"/>
  <c r="E978"/>
  <c r="F977"/>
  <c r="E977"/>
  <c r="A948"/>
  <c r="A949" s="1"/>
  <c r="A950" s="1"/>
  <c r="A951" s="1"/>
  <c r="A952" s="1"/>
  <c r="A953" s="1"/>
  <c r="A954" s="1"/>
  <c r="A955" s="1"/>
  <c r="A956" s="1"/>
  <c r="A957" s="1"/>
  <c r="A958" s="1"/>
  <c r="A959" s="1"/>
  <c r="A961" s="1"/>
  <c r="A962" s="1"/>
  <c r="A963" s="1"/>
  <c r="A964" s="1"/>
  <c r="A965" s="1"/>
  <c r="A966" s="1"/>
  <c r="A967" s="1"/>
  <c r="A968" s="1"/>
  <c r="A969" s="1"/>
  <c r="A970" s="1"/>
  <c r="A971" s="1"/>
  <c r="A972" s="1"/>
  <c r="A973" s="1"/>
  <c r="A974" s="1"/>
  <c r="A975" s="1"/>
  <c r="A977" s="1"/>
  <c r="A978" s="1"/>
  <c r="A979" s="1"/>
  <c r="A980" s="1"/>
  <c r="A981" s="1"/>
  <c r="A982" s="1"/>
  <c r="A983" s="1"/>
  <c r="A984" s="1"/>
  <c r="A985" s="1"/>
  <c r="A986" s="1"/>
  <c r="A987" s="1"/>
  <c r="A988" s="1"/>
  <c r="A989" s="1"/>
  <c r="A990" s="1"/>
  <c r="A991" s="1"/>
  <c r="A992" s="1"/>
  <c r="A993" s="1"/>
  <c r="A994" s="1"/>
  <c r="A995" s="1"/>
  <c r="A996" s="1"/>
  <c r="A997" s="1"/>
  <c r="A998" s="1"/>
  <c r="A999" s="1"/>
  <c r="A1000" s="1"/>
  <c r="A1002" s="1"/>
  <c r="A1003" s="1"/>
  <c r="A1004" s="1"/>
  <c r="A1005" s="1"/>
  <c r="A1006" s="1"/>
  <c r="A1007" s="1"/>
  <c r="A1008" s="1"/>
  <c r="A1009" s="1"/>
  <c r="A1010" s="1"/>
  <c r="A1011" s="1"/>
  <c r="A1012" s="1"/>
  <c r="A1013" s="1"/>
  <c r="A1014" s="1"/>
  <c r="A1015" s="1"/>
  <c r="A1016" s="1"/>
  <c r="A1017" s="1"/>
  <c r="A1018" s="1"/>
  <c r="A1019" s="1"/>
  <c r="A1020" s="1"/>
  <c r="A1021" s="1"/>
  <c r="A1022" s="1"/>
  <c r="A1023" s="1"/>
  <c r="A1024" s="1"/>
  <c r="E943"/>
  <c r="E942"/>
  <c r="E941"/>
  <c r="E940"/>
  <c r="E939"/>
  <c r="E938"/>
  <c r="E937"/>
  <c r="E936"/>
  <c r="E935"/>
  <c r="E934"/>
  <c r="E933"/>
  <c r="E932"/>
  <c r="A932"/>
  <c r="A933"/>
  <c r="A934"/>
  <c r="A935" s="1"/>
  <c r="A936" s="1"/>
  <c r="A937" s="1"/>
  <c r="A938" s="1"/>
  <c r="A939" s="1"/>
  <c r="A940" s="1"/>
  <c r="A941" s="1"/>
  <c r="A942" s="1"/>
  <c r="A943" s="1"/>
  <c r="E931"/>
  <c r="A925"/>
  <c r="A926"/>
  <c r="A927" s="1"/>
  <c r="A928" s="1"/>
  <c r="A929" s="1"/>
  <c r="E922"/>
  <c r="E921"/>
  <c r="E920"/>
  <c r="A920"/>
  <c r="A921"/>
  <c r="E919"/>
  <c r="A914"/>
  <c r="A915"/>
  <c r="A916"/>
  <c r="A917" s="1"/>
  <c r="A906"/>
  <c r="A907"/>
  <c r="A908"/>
  <c r="A909" s="1"/>
  <c r="A910" s="1"/>
  <c r="A911" s="1"/>
  <c r="A897"/>
  <c r="A898" s="1"/>
  <c r="A899" s="1"/>
  <c r="A900" s="1"/>
  <c r="A901" s="1"/>
  <c r="A902" s="1"/>
  <c r="A903" s="1"/>
  <c r="A890"/>
  <c r="A891"/>
  <c r="A892" s="1"/>
  <c r="A893" s="1"/>
  <c r="A894" s="1"/>
  <c r="E887"/>
  <c r="A885"/>
  <c r="A886" s="1"/>
  <c r="A887" s="1"/>
  <c r="E884"/>
  <c r="E882"/>
  <c r="F882" s="1"/>
  <c r="E881"/>
  <c r="F881"/>
  <c r="E880"/>
  <c r="F880" s="1"/>
  <c r="E879"/>
  <c r="F879"/>
  <c r="E878"/>
  <c r="F878" s="1"/>
  <c r="E877"/>
  <c r="F877"/>
  <c r="E876"/>
  <c r="F876" s="1"/>
  <c r="E875"/>
  <c r="F875"/>
  <c r="E874"/>
  <c r="F874" s="1"/>
  <c r="E873"/>
  <c r="F873"/>
  <c r="E872"/>
  <c r="F872" s="1"/>
  <c r="E871"/>
  <c r="F871"/>
  <c r="E870"/>
  <c r="F870" s="1"/>
  <c r="E869"/>
  <c r="F869"/>
  <c r="E868"/>
  <c r="F868" s="1"/>
  <c r="E867"/>
  <c r="F867"/>
  <c r="E866"/>
  <c r="F866" s="1"/>
  <c r="A866"/>
  <c r="A867"/>
  <c r="A868" s="1"/>
  <c r="A869" s="1"/>
  <c r="A870" s="1"/>
  <c r="A871" s="1"/>
  <c r="A872" s="1"/>
  <c r="A873" s="1"/>
  <c r="A874" s="1"/>
  <c r="A875" s="1"/>
  <c r="A876" s="1"/>
  <c r="A877" s="1"/>
  <c r="A878" s="1"/>
  <c r="A879" s="1"/>
  <c r="A880" s="1"/>
  <c r="A881" s="1"/>
  <c r="A882" s="1"/>
  <c r="E865"/>
  <c r="F865" s="1"/>
  <c r="E863"/>
  <c r="F863"/>
  <c r="A863"/>
  <c r="E862"/>
  <c r="F862" s="1"/>
  <c r="A854"/>
  <c r="A856"/>
  <c r="A857" s="1"/>
  <c r="A858" s="1"/>
  <c r="A860" s="1"/>
  <c r="A818"/>
  <c r="A819" s="1"/>
  <c r="A820" s="1"/>
  <c r="A822" s="1"/>
  <c r="A823" s="1"/>
  <c r="A824" s="1"/>
  <c r="A826" s="1"/>
  <c r="A827" s="1"/>
  <c r="A828" s="1"/>
  <c r="A830" s="1"/>
  <c r="A831" s="1"/>
  <c r="A833" s="1"/>
  <c r="A834" s="1"/>
  <c r="A835" s="1"/>
  <c r="A837" s="1"/>
  <c r="A838" s="1"/>
  <c r="A839" s="1"/>
  <c r="A841" s="1"/>
  <c r="A842" s="1"/>
  <c r="A843" s="1"/>
  <c r="A844" s="1"/>
  <c r="A846" s="1"/>
  <c r="A847" s="1"/>
  <c r="A849" s="1"/>
  <c r="A795"/>
  <c r="A796" s="1"/>
  <c r="A797" s="1"/>
  <c r="A798" s="1"/>
  <c r="A799" s="1"/>
  <c r="A800" s="1"/>
  <c r="A801" s="1"/>
  <c r="A804" s="1"/>
  <c r="A805" s="1"/>
  <c r="A806" s="1"/>
  <c r="A808" s="1"/>
  <c r="A809" s="1"/>
  <c r="A810" s="1"/>
  <c r="E778"/>
  <c r="F778" s="1"/>
  <c r="E777"/>
  <c r="F777"/>
  <c r="A777"/>
  <c r="A778" s="1"/>
  <c r="E775"/>
  <c r="F775"/>
  <c r="E774"/>
  <c r="F774" s="1"/>
  <c r="F772"/>
  <c r="E772"/>
  <c r="E771"/>
  <c r="F771" s="1"/>
  <c r="E769"/>
  <c r="F769"/>
  <c r="E767"/>
  <c r="F767" s="1"/>
  <c r="E766"/>
  <c r="F766"/>
  <c r="A766"/>
  <c r="A767" s="1"/>
  <c r="A769" s="1"/>
  <c r="A771"/>
  <c r="A772" s="1"/>
  <c r="E765"/>
  <c r="F765"/>
  <c r="E762"/>
  <c r="E761"/>
  <c r="E760"/>
  <c r="E759"/>
  <c r="E758"/>
  <c r="E757"/>
  <c r="E756"/>
  <c r="E755"/>
  <c r="E754"/>
  <c r="A754"/>
  <c r="A755" s="1"/>
  <c r="A756" s="1"/>
  <c r="A757" s="1"/>
  <c r="A758" s="1"/>
  <c r="A759" s="1"/>
  <c r="A760" s="1"/>
  <c r="A761" s="1"/>
  <c r="A762" s="1"/>
  <c r="E753"/>
  <c r="E751"/>
  <c r="F751" s="1"/>
  <c r="E750"/>
  <c r="F750" s="1"/>
  <c r="E749"/>
  <c r="F749" s="1"/>
  <c r="E748"/>
  <c r="F748" s="1"/>
  <c r="E747"/>
  <c r="F747"/>
  <c r="E746"/>
  <c r="F746" s="1"/>
  <c r="E745"/>
  <c r="F745"/>
  <c r="E744"/>
  <c r="F744" s="1"/>
  <c r="E743"/>
  <c r="F743" s="1"/>
  <c r="A743"/>
  <c r="A744" s="1"/>
  <c r="A745"/>
  <c r="A746" s="1"/>
  <c r="A747" s="1"/>
  <c r="A748" s="1"/>
  <c r="A749" s="1"/>
  <c r="A750" s="1"/>
  <c r="A751" s="1"/>
  <c r="E742"/>
  <c r="F742"/>
  <c r="E740"/>
  <c r="F740" s="1"/>
  <c r="E739"/>
  <c r="F739"/>
  <c r="E738"/>
  <c r="F738" s="1"/>
  <c r="E737"/>
  <c r="F737"/>
  <c r="E736"/>
  <c r="F736" s="1"/>
  <c r="E735"/>
  <c r="F735"/>
  <c r="E734"/>
  <c r="F734" s="1"/>
  <c r="E733"/>
  <c r="F733"/>
  <c r="E732"/>
  <c r="F732" s="1"/>
  <c r="E731"/>
  <c r="F731"/>
  <c r="E730"/>
  <c r="F730" s="1"/>
  <c r="A730"/>
  <c r="A731"/>
  <c r="A732"/>
  <c r="A733" s="1"/>
  <c r="A734" s="1"/>
  <c r="A735" s="1"/>
  <c r="A736" s="1"/>
  <c r="A737" s="1"/>
  <c r="A738" s="1"/>
  <c r="A739" s="1"/>
  <c r="A740" s="1"/>
  <c r="E729"/>
  <c r="F729" s="1"/>
  <c r="E727"/>
  <c r="E726"/>
  <c r="E725"/>
  <c r="E724"/>
  <c r="E723"/>
  <c r="E722"/>
  <c r="E721"/>
  <c r="E720"/>
  <c r="E719"/>
  <c r="A719"/>
  <c r="A720" s="1"/>
  <c r="A721" s="1"/>
  <c r="A722" s="1"/>
  <c r="A723" s="1"/>
  <c r="A724" s="1"/>
  <c r="A725" s="1"/>
  <c r="A726" s="1"/>
  <c r="A727" s="1"/>
  <c r="E718"/>
  <c r="E702"/>
  <c r="E701"/>
  <c r="E700"/>
  <c r="E699"/>
  <c r="E698"/>
  <c r="E697"/>
  <c r="E696"/>
  <c r="E695"/>
  <c r="E694"/>
  <c r="E693"/>
  <c r="D691"/>
  <c r="D690"/>
  <c r="D689"/>
  <c r="D688"/>
  <c r="D687"/>
  <c r="D686"/>
  <c r="D685"/>
  <c r="D684"/>
  <c r="D683"/>
  <c r="D682"/>
  <c r="A676"/>
  <c r="A677"/>
  <c r="A678"/>
  <c r="A679"/>
  <c r="A680" s="1"/>
  <c r="E673"/>
  <c r="E672"/>
  <c r="E671"/>
  <c r="E670"/>
  <c r="E669"/>
  <c r="E668"/>
  <c r="E667"/>
  <c r="E665"/>
  <c r="E664"/>
  <c r="E663"/>
  <c r="E662"/>
  <c r="E660"/>
  <c r="E659"/>
  <c r="E658"/>
  <c r="A658"/>
  <c r="A659" s="1"/>
  <c r="A660"/>
  <c r="A662" s="1"/>
  <c r="A663" s="1"/>
  <c r="A664" s="1"/>
  <c r="A665" s="1"/>
  <c r="A667" s="1"/>
  <c r="E657"/>
  <c r="A644"/>
  <c r="A645"/>
  <c r="A646"/>
  <c r="A647" s="1"/>
  <c r="A648" s="1"/>
  <c r="A649" s="1"/>
  <c r="A650" s="1"/>
  <c r="A651" s="1"/>
  <c r="A652" s="1"/>
  <c r="A653" s="1"/>
  <c r="A654" s="1"/>
  <c r="D641"/>
  <c r="D640"/>
  <c r="A640"/>
  <c r="A641" s="1"/>
  <c r="D639"/>
  <c r="A636"/>
  <c r="A637"/>
  <c r="A628"/>
  <c r="A629"/>
  <c r="A630" s="1"/>
  <c r="A631"/>
  <c r="A632" s="1"/>
  <c r="A633" s="1"/>
  <c r="A620"/>
  <c r="A621"/>
  <c r="A622" s="1"/>
  <c r="A623" s="1"/>
  <c r="A624" s="1"/>
  <c r="A625" s="1"/>
  <c r="F616"/>
  <c r="F615"/>
  <c r="F614"/>
  <c r="F613"/>
  <c r="A613"/>
  <c r="A614" s="1"/>
  <c r="A615" s="1"/>
  <c r="A616" s="1"/>
  <c r="F612"/>
  <c r="E610"/>
  <c r="E609"/>
  <c r="E608"/>
  <c r="E607"/>
  <c r="E606"/>
  <c r="E605"/>
  <c r="A605"/>
  <c r="A606"/>
  <c r="A607"/>
  <c r="A608" s="1"/>
  <c r="A609" s="1"/>
  <c r="A610" s="1"/>
  <c r="E604"/>
  <c r="A587"/>
  <c r="A588"/>
  <c r="A590" s="1"/>
  <c r="A591" s="1"/>
  <c r="A593" s="1"/>
  <c r="A594" s="1"/>
  <c r="A595" s="1"/>
  <c r="A597" s="1"/>
  <c r="A598" s="1"/>
  <c r="A600" s="1"/>
  <c r="A601" s="1"/>
  <c r="A602" s="1"/>
  <c r="A575"/>
  <c r="A577"/>
  <c r="A578"/>
  <c r="A580" s="1"/>
  <c r="A581" s="1"/>
  <c r="A583" s="1"/>
  <c r="A584" s="1"/>
  <c r="E571"/>
  <c r="E570"/>
  <c r="E569"/>
  <c r="A569"/>
  <c r="A570"/>
  <c r="A571" s="1"/>
  <c r="E568"/>
  <c r="E565"/>
  <c r="E564"/>
  <c r="A564"/>
  <c r="A565"/>
  <c r="E563"/>
  <c r="E561"/>
  <c r="E560"/>
  <c r="E559"/>
  <c r="E558"/>
  <c r="E557"/>
  <c r="E556"/>
  <c r="E554"/>
  <c r="E553"/>
  <c r="E550"/>
  <c r="E549"/>
  <c r="E548"/>
  <c r="E547"/>
  <c r="E545"/>
  <c r="E544"/>
  <c r="E543"/>
  <c r="E542"/>
  <c r="E541"/>
  <c r="E540"/>
  <c r="A540"/>
  <c r="A541" s="1"/>
  <c r="A542" s="1"/>
  <c r="A543" s="1"/>
  <c r="A544" s="1"/>
  <c r="A545" s="1"/>
  <c r="A547" s="1"/>
  <c r="A548" s="1"/>
  <c r="A549" s="1"/>
  <c r="A550" s="1"/>
  <c r="E539"/>
  <c r="E535"/>
  <c r="E534"/>
  <c r="E533"/>
  <c r="E532"/>
  <c r="A532"/>
  <c r="A533"/>
  <c r="A534"/>
  <c r="A535" s="1"/>
  <c r="E531"/>
  <c r="A527"/>
  <c r="A524"/>
  <c r="D516"/>
  <c r="A504"/>
  <c r="A505"/>
  <c r="A506"/>
  <c r="A507" s="1"/>
  <c r="A508" s="1"/>
  <c r="A509" s="1"/>
  <c r="A510" s="1"/>
  <c r="A511" s="1"/>
  <c r="A512" s="1"/>
  <c r="A513" s="1"/>
  <c r="A514" s="1"/>
  <c r="A515" s="1"/>
  <c r="A516" s="1"/>
  <c r="D501"/>
  <c r="D500"/>
  <c r="D499"/>
  <c r="A499"/>
  <c r="A500"/>
  <c r="A501" s="1"/>
  <c r="D498"/>
  <c r="A494"/>
  <c r="A495"/>
  <c r="A496" s="1"/>
  <c r="A489"/>
  <c r="A490" s="1"/>
  <c r="A491"/>
  <c r="D486"/>
  <c r="D485"/>
  <c r="D484"/>
  <c r="A484"/>
  <c r="A485"/>
  <c r="A486" s="1"/>
  <c r="D483"/>
  <c r="A480"/>
  <c r="A472"/>
  <c r="A473" s="1"/>
  <c r="A474" s="1"/>
  <c r="A475" s="1"/>
  <c r="A453"/>
  <c r="A454"/>
  <c r="A455" s="1"/>
  <c r="A456" s="1"/>
  <c r="A459" s="1"/>
  <c r="A461" s="1"/>
  <c r="A463" s="1"/>
  <c r="A465" s="1"/>
  <c r="A466" s="1"/>
  <c r="A467" s="1"/>
  <c r="A468" s="1"/>
  <c r="A469" s="1"/>
  <c r="E449"/>
  <c r="E448"/>
  <c r="A444"/>
  <c r="A446"/>
  <c r="A447"/>
  <c r="A448" s="1"/>
  <c r="A449" s="1"/>
  <c r="A450" s="1"/>
  <c r="D439"/>
  <c r="D438"/>
  <c r="D437"/>
  <c r="D436"/>
  <c r="D435"/>
  <c r="D434"/>
  <c r="D433"/>
  <c r="A433"/>
  <c r="A434"/>
  <c r="A435"/>
  <c r="A436" s="1"/>
  <c r="A437" s="1"/>
  <c r="A438" s="1"/>
  <c r="A439" s="1"/>
  <c r="D432"/>
  <c r="A423"/>
  <c r="A424" s="1"/>
  <c r="A426" s="1"/>
  <c r="A427" s="1"/>
  <c r="A429" s="1"/>
  <c r="A430" s="1"/>
  <c r="E402"/>
  <c r="E401"/>
  <c r="E400"/>
  <c r="E399"/>
  <c r="E398"/>
  <c r="A381"/>
  <c r="A382"/>
  <c r="A383" s="1"/>
  <c r="A384" s="1"/>
  <c r="A385" s="1"/>
  <c r="A386" s="1"/>
  <c r="A388" s="1"/>
  <c r="A389" s="1"/>
  <c r="A390" s="1"/>
  <c r="A391" s="1"/>
  <c r="A393" s="1"/>
  <c r="A394" s="1"/>
  <c r="A395" s="1"/>
  <c r="A396" s="1"/>
  <c r="A397" s="1"/>
  <c r="A398" s="1"/>
  <c r="A399" s="1"/>
  <c r="A400" s="1"/>
  <c r="A401" s="1"/>
  <c r="A402" s="1"/>
  <c r="A404" s="1"/>
  <c r="A405" s="1"/>
  <c r="A406" s="1"/>
  <c r="A407" s="1"/>
  <c r="A408" s="1"/>
  <c r="A409" s="1"/>
  <c r="A410" s="1"/>
  <c r="A411" s="1"/>
  <c r="A412" s="1"/>
  <c r="A413" s="1"/>
  <c r="A414" s="1"/>
  <c r="A415" s="1"/>
  <c r="A416" s="1"/>
  <c r="A417" s="1"/>
  <c r="A418" s="1"/>
  <c r="E375"/>
  <c r="E374"/>
  <c r="E373"/>
  <c r="E372"/>
  <c r="E371"/>
  <c r="E370"/>
  <c r="A370"/>
  <c r="A371" s="1"/>
  <c r="A372" s="1"/>
  <c r="A373" s="1"/>
  <c r="A374" s="1"/>
  <c r="A375" s="1"/>
  <c r="E369"/>
  <c r="E367"/>
  <c r="E366"/>
  <c r="E365"/>
  <c r="E364"/>
  <c r="E363"/>
  <c r="E362"/>
  <c r="E361"/>
  <c r="A360"/>
  <c r="A361" s="1"/>
  <c r="A362" s="1"/>
  <c r="A363" s="1"/>
  <c r="A364" s="1"/>
  <c r="A365" s="1"/>
  <c r="A366" s="1"/>
  <c r="A367" s="1"/>
  <c r="E359"/>
  <c r="E357"/>
  <c r="F357"/>
  <c r="F355"/>
  <c r="E355"/>
  <c r="F354"/>
  <c r="E354"/>
  <c r="F353"/>
  <c r="E353"/>
  <c r="A353"/>
  <c r="A354"/>
  <c r="A355" s="1"/>
  <c r="A357" s="1"/>
  <c r="F352"/>
  <c r="E352"/>
  <c r="E349"/>
  <c r="E348"/>
  <c r="E347"/>
  <c r="E346"/>
  <c r="E345"/>
  <c r="E344"/>
  <c r="E343"/>
  <c r="E342"/>
  <c r="E340"/>
  <c r="E339"/>
  <c r="E338"/>
  <c r="E337"/>
  <c r="E336"/>
  <c r="E335"/>
  <c r="E334"/>
  <c r="E333"/>
  <c r="E332"/>
  <c r="E330"/>
  <c r="E329"/>
  <c r="E328"/>
  <c r="E327"/>
  <c r="E326"/>
  <c r="E325"/>
  <c r="E324"/>
  <c r="E323"/>
  <c r="E321"/>
  <c r="E320"/>
  <c r="E319"/>
  <c r="E318"/>
  <c r="E317"/>
  <c r="E316"/>
  <c r="E314"/>
  <c r="E313"/>
  <c r="E312"/>
  <c r="E311"/>
  <c r="E310"/>
  <c r="E309"/>
  <c r="A309"/>
  <c r="A310" s="1"/>
  <c r="A311"/>
  <c r="A312" s="1"/>
  <c r="A313" s="1"/>
  <c r="A314" s="1"/>
  <c r="A316" s="1"/>
  <c r="A317" s="1"/>
  <c r="A318" s="1"/>
  <c r="A319" s="1"/>
  <c r="A320" s="1"/>
  <c r="A321" s="1"/>
  <c r="A323" s="1"/>
  <c r="A324" s="1"/>
  <c r="A325" s="1"/>
  <c r="A326" s="1"/>
  <c r="A327" s="1"/>
  <c r="A328" s="1"/>
  <c r="A329" s="1"/>
  <c r="A330" s="1"/>
  <c r="A332" s="1"/>
  <c r="A333" s="1"/>
  <c r="A334" s="1"/>
  <c r="A335" s="1"/>
  <c r="A336" s="1"/>
  <c r="A337" s="1"/>
  <c r="A338" s="1"/>
  <c r="A339" s="1"/>
  <c r="A340" s="1"/>
  <c r="A342" s="1"/>
  <c r="A343" s="1"/>
  <c r="A344" s="1"/>
  <c r="A345" s="1"/>
  <c r="A346" s="1"/>
  <c r="A347" s="1"/>
  <c r="A348" s="1"/>
  <c r="A349" s="1"/>
  <c r="E308"/>
  <c r="A303"/>
  <c r="A304" s="1"/>
  <c r="A305" s="1"/>
  <c r="A287"/>
  <c r="A288"/>
  <c r="A289" s="1"/>
  <c r="A290" s="1"/>
  <c r="A291" s="1"/>
  <c r="A292" s="1"/>
  <c r="A293" s="1"/>
  <c r="A294" s="1"/>
  <c r="A295" s="1"/>
  <c r="A296" s="1"/>
  <c r="A297" s="1"/>
  <c r="A298" s="1"/>
  <c r="A299" s="1"/>
  <c r="A300" s="1"/>
  <c r="F281"/>
  <c r="E281"/>
  <c r="E279"/>
  <c r="D277"/>
  <c r="D276"/>
  <c r="D275"/>
  <c r="A275"/>
  <c r="A276"/>
  <c r="A277" s="1"/>
  <c r="D274"/>
  <c r="A270"/>
  <c r="A271"/>
  <c r="A272" s="1"/>
  <c r="A245"/>
  <c r="A246" s="1"/>
  <c r="A248"/>
  <c r="A249" s="1"/>
  <c r="A250" s="1"/>
  <c r="A252" s="1"/>
  <c r="A253" s="1"/>
  <c r="A254" s="1"/>
  <c r="A256" s="1"/>
  <c r="A257" s="1"/>
  <c r="A258" s="1"/>
  <c r="A260" s="1"/>
  <c r="A261" s="1"/>
  <c r="A262" s="1"/>
  <c r="A264" s="1"/>
  <c r="A265" s="1"/>
  <c r="A266" s="1"/>
  <c r="A238"/>
  <c r="A239"/>
  <c r="A240" s="1"/>
  <c r="A203"/>
  <c r="A204" s="1"/>
  <c r="A205"/>
  <c r="A206" s="1"/>
  <c r="A207" s="1"/>
  <c r="A208" s="1"/>
  <c r="A209" s="1"/>
  <c r="A210" s="1"/>
  <c r="A211" s="1"/>
  <c r="A212" s="1"/>
  <c r="A213" s="1"/>
  <c r="A214" s="1"/>
  <c r="A215" s="1"/>
  <c r="A216" s="1"/>
  <c r="A217" s="1"/>
  <c r="A218" s="1"/>
  <c r="A219" s="1"/>
  <c r="A221" s="1"/>
  <c r="A222" s="1"/>
  <c r="A223" s="1"/>
  <c r="A224" s="1"/>
  <c r="A226" s="1"/>
  <c r="A227" s="1"/>
  <c r="A228" s="1"/>
  <c r="A229" s="1"/>
  <c r="A230" s="1"/>
  <c r="A231" s="1"/>
  <c r="A232" s="1"/>
  <c r="A233" s="1"/>
  <c r="A234" s="1"/>
  <c r="A235" s="1"/>
  <c r="A199"/>
  <c r="A156"/>
  <c r="A157" s="1"/>
  <c r="A159" s="1"/>
  <c r="A160" s="1"/>
  <c r="A161" s="1"/>
  <c r="A163" s="1"/>
  <c r="A164" s="1"/>
  <c r="A165" s="1"/>
  <c r="A167" s="1"/>
  <c r="A168" s="1"/>
  <c r="A169" s="1"/>
  <c r="A171" s="1"/>
  <c r="A172" s="1"/>
  <c r="A173" s="1"/>
  <c r="A175" s="1"/>
  <c r="A176" s="1"/>
  <c r="A177" s="1"/>
  <c r="A179" s="1"/>
  <c r="A180" s="1"/>
  <c r="A181" s="1"/>
  <c r="A182" s="1"/>
  <c r="A184" s="1"/>
  <c r="A185" s="1"/>
  <c r="A186" s="1"/>
  <c r="A187" s="1"/>
  <c r="A188" s="1"/>
  <c r="A189" s="1"/>
  <c r="A190" s="1"/>
  <c r="A191" s="1"/>
  <c r="A192" s="1"/>
  <c r="A194" s="1"/>
  <c r="A195" s="1"/>
  <c r="A196" s="1"/>
  <c r="A125"/>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E121"/>
  <c r="E120"/>
  <c r="E119"/>
  <c r="A119"/>
  <c r="A120"/>
  <c r="A121" s="1"/>
  <c r="E118"/>
  <c r="E116"/>
  <c r="E115"/>
  <c r="E114"/>
  <c r="E113"/>
  <c r="E112"/>
  <c r="E111"/>
  <c r="E110"/>
  <c r="E109"/>
  <c r="A109"/>
  <c r="A110"/>
  <c r="A111" s="1"/>
  <c r="A112" s="1"/>
  <c r="A113" s="1"/>
  <c r="A114" s="1"/>
  <c r="A115" s="1"/>
  <c r="A116" s="1"/>
  <c r="E108"/>
  <c r="A98"/>
  <c r="A99" s="1"/>
  <c r="A100" s="1"/>
  <c r="A101" s="1"/>
  <c r="A102" s="1"/>
  <c r="A103" s="1"/>
  <c r="A94"/>
  <c r="A95"/>
  <c r="A91"/>
  <c r="A87"/>
  <c r="A88" s="1"/>
  <c r="A82"/>
  <c r="A83"/>
  <c r="A79"/>
  <c r="A76"/>
  <c r="D74"/>
  <c r="A70"/>
  <c r="A71" s="1"/>
  <c r="A61"/>
  <c r="A62"/>
  <c r="A63"/>
  <c r="A64" s="1"/>
  <c r="A65" s="1"/>
  <c r="A66" s="1"/>
  <c r="D40"/>
  <c r="D39"/>
  <c r="D38"/>
  <c r="D37"/>
  <c r="D36"/>
  <c r="D35"/>
  <c r="D34"/>
  <c r="D33"/>
  <c r="D32"/>
  <c r="A32"/>
  <c r="A33" s="1"/>
  <c r="A34" s="1"/>
  <c r="A35" s="1"/>
  <c r="A36" s="1"/>
  <c r="A37" s="1"/>
  <c r="A38" s="1"/>
  <c r="A39" s="1"/>
  <c r="A40" s="1"/>
  <c r="A41" s="1"/>
  <c r="A42" s="1"/>
  <c r="A43" s="1"/>
  <c r="D31"/>
  <c r="D28"/>
  <c r="D27"/>
  <c r="D26"/>
  <c r="D25"/>
  <c r="D24"/>
  <c r="D23"/>
  <c r="D22"/>
  <c r="D21"/>
  <c r="D20"/>
  <c r="A20"/>
  <c r="A21"/>
  <c r="A22" s="1"/>
  <c r="A23" s="1"/>
  <c r="A24" s="1"/>
  <c r="A25" s="1"/>
  <c r="A26" s="1"/>
  <c r="A27" s="1"/>
  <c r="A28" s="1"/>
  <c r="D19"/>
  <c r="A1220"/>
  <c r="A1223" s="1"/>
  <c r="A1226" s="1"/>
  <c r="A1229" s="1"/>
  <c r="A1232" s="1"/>
  <c r="A1235" s="1"/>
  <c r="A1238" s="1"/>
  <c r="A1241" s="1"/>
  <c r="A1288"/>
  <c r="A1290" s="1"/>
  <c r="A1292" s="1"/>
  <c r="A1294" s="1"/>
  <c r="A1296" s="1"/>
  <c r="A1298" s="1"/>
  <c r="A1300" s="1"/>
  <c r="A1301" s="1"/>
  <c r="A1302" s="1"/>
  <c r="A1303" s="1"/>
  <c r="A1304" s="1"/>
  <c r="A1305" s="1"/>
  <c r="A1306" s="1"/>
  <c r="A1307" s="1"/>
  <c r="A1308" s="1"/>
  <c r="A1309" s="1"/>
  <c r="A1310" s="1"/>
  <c r="A1311" s="1"/>
  <c r="A1287"/>
  <c r="A1289" s="1"/>
  <c r="A1291" s="1"/>
  <c r="A1293" s="1"/>
  <c r="A1295" s="1"/>
  <c r="A1297" s="1"/>
  <c r="A668" l="1"/>
  <c r="A670"/>
  <c r="A673" s="1"/>
  <c r="A669" l="1"/>
  <c r="A672" s="1"/>
  <c r="A671"/>
</calcChain>
</file>

<file path=xl/sharedStrings.xml><?xml version="1.0" encoding="utf-8"?>
<sst xmlns="http://schemas.openxmlformats.org/spreadsheetml/2006/main" count="3163" uniqueCount="1672">
  <si>
    <t xml:space="preserve">        CÔNG BỐ</t>
  </si>
  <si>
    <t xml:space="preserve">            GIÁ VẬT LIỆU XÂY DỰNG VÀ TRANG TRÍ NỘI THẤT THÁNG 5/2016</t>
  </si>
  <si>
    <t xml:space="preserve">TRÊN ĐỊA BÀN TỈNH AN GIANG </t>
  </si>
  <si>
    <t xml:space="preserve">            Căn cứ Công văn số 487/UBND-XDCB ngày 22/02/2011 của UBND tỉnh An Giang về việc giao nhiệm vụ chủ trì thực hiện công bố giá vật liệu xây dựng hàng tháng cho Sở Xây dựng.</t>
  </si>
  <si>
    <t xml:space="preserve">           Liên Sở Xây dựng - Tài chính công bố giá bán các loại vật liệu xây dựng và trang trí nội thất chủ yếu thời điểm tháng 5/2016 trên địa bàn tỉnh An Giang như sau:</t>
  </si>
  <si>
    <t>STT</t>
  </si>
  <si>
    <t xml:space="preserve"> TÊN VÀ QUY CÁCH VẬT LIỆU </t>
  </si>
  <si>
    <t>ĐVT</t>
  </si>
  <si>
    <t>Giá bán chưa bao gồm thuế VAT</t>
  </si>
  <si>
    <t>Giá bán nơi sản xuất</t>
  </si>
  <si>
    <t>Giá bán tại các huyện, TX, TP trong phạm vi bán kính 3 km</t>
  </si>
  <si>
    <t>TP.Long Xuyên</t>
  </si>
  <si>
    <t>Các huyện, TX</t>
  </si>
  <si>
    <t>I</t>
  </si>
  <si>
    <t xml:space="preserve"> ĐÁ CÁC LOẠI : (đã bao gồm thuế tài nguyên và phí bảo vệ môi trường)</t>
  </si>
  <si>
    <t>* Đá khu vực Bà Đội: Cty TNHH MTV Khai thác &amp; Chế biến đá An Giang.</t>
  </si>
  <si>
    <t xml:space="preserve"> - Giá bán tại bãi đá Láng Cháy thuộc xã Tân Lợi, huyện Tịnh Biên. Giá bán xuống sà lan bên mua tại bến sông xã Tân Lợi, huyện Tịnh Biên (bao gồm: thuế GTGT 10%, tiền sạt: 6.000đ); riêng đá 20 x 30 (đá hộc) tiền sạt: 13.000đ. Theo bảng giá ngày 03/8/2015</t>
  </si>
  <si>
    <t xml:space="preserve"> Đá 1 x 2 (lưới 29)</t>
  </si>
  <si>
    <r>
      <t>đ/m</t>
    </r>
    <r>
      <rPr>
        <vertAlign val="superscript"/>
        <sz val="12"/>
        <rFont val="Times New Roman"/>
        <family val="1"/>
      </rPr>
      <t>3</t>
    </r>
  </si>
  <si>
    <t xml:space="preserve"> Đá 2 x4 </t>
  </si>
  <si>
    <t xml:space="preserve"> Đá 4 x 6 xay</t>
  </si>
  <si>
    <t xml:space="preserve"> Đá 5 x7 xay</t>
  </si>
  <si>
    <t xml:space="preserve"> Đá (0x4) xương (lưới 40)</t>
  </si>
  <si>
    <t xml:space="preserve"> Cấp phối (0x4) loại I (Dmax 37.5)</t>
  </si>
  <si>
    <t xml:space="preserve"> Cấp phối (0x4)  (Dmax 37.5)</t>
  </si>
  <si>
    <t xml:space="preserve"> Bụi (còn gọi là mi bụi)</t>
  </si>
  <si>
    <t xml:space="preserve"> Đá mi  (còn gọi là mi sàng)</t>
  </si>
  <si>
    <t xml:space="preserve"> Đá 20 x 30 (đá hộc)</t>
  </si>
  <si>
    <t>* Đá khu vực Cô Tô: Cty TNHH MTV Khai thác &amp; Chế biến đá An Giang</t>
  </si>
  <si>
    <t xml:space="preserve"> - Giá bán tại bãi đá Cô Tô thuộc xã Cô Tô, huyện Tri Tôn (giá bán xuống xà lan bên mua tại bến sông xã Cô Tô, bao gồm: thuế GTGT 10%,, tiền sạt: 6.000đ); riêng đá 20 x 30 (đá hộc) tiền sạt: 13.000đ. Theo bảng giá ngày 01/01/2016</t>
  </si>
  <si>
    <t xml:space="preserve"> Đá 1 x 2 loại I (lưới 29)</t>
  </si>
  <si>
    <t xml:space="preserve"> Đá 1 x 2 (An Phước + máy 1 Cô Tô)</t>
  </si>
  <si>
    <t xml:space="preserve"> Đá 2 x 4 xay</t>
  </si>
  <si>
    <t xml:space="preserve"> Đá 5 x 7 xay </t>
  </si>
  <si>
    <t xml:space="preserve"> Đá cấp phối (0 x 4) loại I  (Dmax 37.5)</t>
  </si>
  <si>
    <t xml:space="preserve"> Đá cấp phối (0 x 4)          (Dmax 25)</t>
  </si>
  <si>
    <t xml:space="preserve"> Đá mi (còn gọi là mi sàng)</t>
  </si>
  <si>
    <t xml:space="preserve"> Đá 2 x 3 dơ</t>
  </si>
  <si>
    <t xml:space="preserve"> Bụi sàng nhuyễn</t>
  </si>
  <si>
    <t xml:space="preserve"> Đá 20x30 (đá hộc)</t>
  </si>
  <si>
    <t>* Đá ANTRACO: Cty TNHH Liên Doanh ANTRACO (bao gồm: tiền vận chuyển từ bãi đá thành phẩm đến bến cảng Antraco; tiền bốc xếp xuống phương tiện và thuế VAT) . Theo bảng giá ngày 01/10/2015</t>
  </si>
  <si>
    <t xml:space="preserve"> Đá (0,5 - 2,0) </t>
  </si>
  <si>
    <r>
      <t>đ/m</t>
    </r>
    <r>
      <rPr>
        <vertAlign val="superscript"/>
        <sz val="10.5"/>
        <rFont val="Times New Roman"/>
        <family val="1"/>
      </rPr>
      <t>3</t>
    </r>
  </si>
  <si>
    <t xml:space="preserve"> Đá 1 x 2 (sàng 22, sàng 25, sàng 28)</t>
  </si>
  <si>
    <t xml:space="preserve"> Đá 1 x 2 (sàng 27)</t>
  </si>
  <si>
    <t xml:space="preserve"> Đá 4 x 6 loại 1</t>
  </si>
  <si>
    <t xml:space="preserve"> Đá 5 x 7 </t>
  </si>
  <si>
    <t xml:space="preserve"> Cấp phối (0x4) sàng 25 </t>
  </si>
  <si>
    <t xml:space="preserve"> Cấp phối (0x4) sàng 37.5</t>
  </si>
  <si>
    <t xml:space="preserve"> Cấp phối (0x4) loại 1</t>
  </si>
  <si>
    <t xml:space="preserve"> Cấp phối (0x4) loại 2</t>
  </si>
  <si>
    <t xml:space="preserve"> Đá mi bụi</t>
  </si>
  <si>
    <t xml:space="preserve"> Đá mi sàng</t>
  </si>
  <si>
    <t xml:space="preserve"> Đá (0,5 - 2,0) ly tâm</t>
  </si>
  <si>
    <t xml:space="preserve"> Đá (1,0 - 1,6) ly tâm</t>
  </si>
  <si>
    <t xml:space="preserve"> Đá hộc (20x30), giá bán tại hầm, chưa tính chi phí bốc lên xe và phí vận chuyển. </t>
  </si>
  <si>
    <t xml:space="preserve"> *Công ty TNHH MTV Xây Lắp An Giang: Giá bán tại bãi đá thuộc ấp Tân Thuận, xã Tân Lợi, huyện Tịnh Biên (bao gồm: thuế GTGT 10%,  phí bảo vệ môi trường, thuế tài nguyên), giá các loại đá là giá bán buôn lên phương tiện tại máy xay, riêng đá hộc 20x30 là giá bán lẻ tại hầm. Theo bảng giá ngày 18/5/2016</t>
  </si>
  <si>
    <t xml:space="preserve"> Đá 0 x4  xương (lưới 40)</t>
  </si>
  <si>
    <t xml:space="preserve"> Đá 4 x 6 </t>
  </si>
  <si>
    <t xml:space="preserve"> Đá 5 x7 </t>
  </si>
  <si>
    <t xml:space="preserve"> Bụi xây dựng 0,6 - 0,7</t>
  </si>
  <si>
    <t xml:space="preserve"> Đá mi  0,8 - 0,9</t>
  </si>
  <si>
    <t>II</t>
  </si>
  <si>
    <t xml:space="preserve">CÁT CÁC LOẠI: Theo giá kê khai của các doanh nghiệp khai thác cát. </t>
  </si>
  <si>
    <t>* Cát đen san lấp:</t>
  </si>
  <si>
    <r>
      <t>Tại Thị trấn Cái Dầu - Châu Phú : Cty TNHH MTV Xây Lắp AG</t>
    </r>
    <r>
      <rPr>
        <i/>
        <sz val="10.5"/>
        <rFont val="Times New Roman"/>
        <family val="1"/>
      </rPr>
      <t xml:space="preserve"> (giá bán tại mỏ khai thác, đã bao gồm thuế GTGT, thuế tài nguyên, phí bảo vệ môi trường, quyền khai thác và các chi phí liên quan khác)</t>
    </r>
  </si>
  <si>
    <t>đ/m3</t>
  </si>
  <si>
    <r>
      <t>Tại xã Bình Thủy-Châu Phú; xã Tân Hòa - Phú Tân : Cty CP Xáng cát An Giang</t>
    </r>
    <r>
      <rPr>
        <i/>
        <sz val="10.5"/>
        <rFont val="Times New Roman"/>
        <family val="1"/>
      </rPr>
      <t xml:space="preserve"> (giá bán lẻ lên phương tiên tại mỏ, đã bao gồm thuế GTGT, thuế tài nguyên, phí bảo vệ môi trường, tiền cấp quyền khai thác khoáng sản)</t>
    </r>
  </si>
  <si>
    <t xml:space="preserve"> </t>
  </si>
  <si>
    <r>
      <t xml:space="preserve">Tại xã Vĩnh Hòa - Tx.Tân Châu: Cty TNHH Thiện Nghĩa </t>
    </r>
    <r>
      <rPr>
        <i/>
        <sz val="10.5"/>
        <rFont val="Times New Roman"/>
        <family val="1"/>
      </rPr>
      <t>(giá bao gồm thuế GTGT, thuế tài nguyên, phí bảo vệ môi trường, tiền cấp quyền khai thác khoáng sản, ký quỹ phục hồi môi trường, phí bốc lên phương tiện cho người mua. Giá chưa bao gồm phí vận chuyển đến công trình)</t>
    </r>
  </si>
  <si>
    <r>
      <t xml:space="preserve">Tại xã Bình Thủy và xã Bình Thạnh-Châu Phú: Cty TNHH MTV Tân Lê Quang </t>
    </r>
    <r>
      <rPr>
        <i/>
        <sz val="10.5"/>
        <rFont val="Times New Roman"/>
        <family val="1"/>
      </rPr>
      <t>(giá bán buôn tại mỏ, bao gồm phí bốc lên phương tiện bên mua; chưa bao gồm thuế GTGT, thuế tài nguyên, phí bảo vệ môi trường, tiền cấp quyền khai thác khoáng sản, phí thuê đơn vị tư vấn lập thủ tục gia hạn giấy phép, phí khấu hao tài sản cố định)</t>
    </r>
  </si>
  <si>
    <t>* Cát vàng: Mô đun độ lớn (MI) từ 1,3 đến 1,5</t>
  </si>
  <si>
    <r>
      <t xml:space="preserve"> Tại xã Vĩnh Xương - TX Tân Châu:  Cty TNHH MTV Xây Lắp AG </t>
    </r>
    <r>
      <rPr>
        <i/>
        <sz val="10.5"/>
        <rFont val="Times New Roman"/>
        <family val="1"/>
      </rPr>
      <t>(giá bán tại mỏ khai thác, đã bao gồm thuế GTGT, thuế tài nguyên, phí bảo vệ môi trường, quyền khai thác và các chi phí liên quan khác)</t>
    </r>
  </si>
  <si>
    <r>
      <t xml:space="preserve">Tại xã Vĩnh Hòa - Tx.Tân Châu: Cty TNHH Thiện Nghĩa </t>
    </r>
    <r>
      <rPr>
        <i/>
        <sz val="10.5"/>
        <rFont val="Times New Roman"/>
        <family val="1"/>
      </rPr>
      <t>(giá bao gồm thuế GTGT, thuế tài nguyên, phí bảo vệ môi trường, tiền cấp quyền khai thác khoáng sản, ký quỹ phục hồi môi trường, phí bốc lên phương tiện cho người mua; chưa bao gồm phí vận chuyển đến công trình)</t>
    </r>
  </si>
  <si>
    <r>
      <t xml:space="preserve">Tại xã Mỹ Hiệp và Bình Phước Xuân - Chợ Mới : Cty TNHH Thiện Phúc </t>
    </r>
    <r>
      <rPr>
        <i/>
        <sz val="10.5"/>
        <rFont val="Times New Roman"/>
        <family val="1"/>
      </rPr>
      <t>(đã bao gồm thuế GTGT, thuế tài nguyên, phí bảo vệ môi trường, tiền cấp quyền khai thác khoáng sản)</t>
    </r>
  </si>
  <si>
    <t>III</t>
  </si>
  <si>
    <t>NHỰA ĐƯỜNG, BÊ TÔNG NHỰA VÀ BÊ TÔNG TƯƠI:</t>
  </si>
  <si>
    <t>Nhựa đường đặc nóng 60/70, giao hàng tại Kho Trà Nóc - Cần Thơ</t>
  </si>
  <si>
    <t>đ/kg</t>
  </si>
  <si>
    <t>Nhựa đường phuy 60/70, giao hàng tại Kho Trà Nóc - Cần Thơ</t>
  </si>
  <si>
    <t>* Công ty TNHH Trường Thắng (giao hàng tại KCB Bình Hòa, huyện Châu Thành). Theo bảng giá ngày 13/5/2016</t>
  </si>
  <si>
    <t>Bê tông nhựa nóng hạt mịn C9.5</t>
  </si>
  <si>
    <t>đ/tấn</t>
  </si>
  <si>
    <t>Bê tông nhựa nóng hạt trung C12.5</t>
  </si>
  <si>
    <t>Bê tông nhựa nóng hạt trung C19</t>
  </si>
  <si>
    <t>Bê tông nhựa nguội</t>
  </si>
  <si>
    <t>* Công ty TNHH MTV Xây Lắp An Giang (giao hàng tại trạm bê tông nhựa nóng, KCN Bình Hòa, huyện Châu Thành). Theo bảng giá ngày 25/11/2013</t>
  </si>
  <si>
    <t>Bê tông nhựa nóng hạt mịn C10</t>
  </si>
  <si>
    <t>Bê tông nhựa nóng hạt trung C15</t>
  </si>
  <si>
    <t xml:space="preserve">Bê tông nhựa nóng hạt thô C20 </t>
  </si>
  <si>
    <t>* Công ty TNHH TM-SX-DV Tín Thịnh (số 102H, Nguyễn Xuân Khoát, P.Tân Thành, Q.Tân Phú, Tp.HCM). Theo bảng giá ngày 01/5/2016</t>
  </si>
  <si>
    <t>Nhựa đường thùng SHELL SINGAPORE 60/70 (hàng được giao trên xe tại Tp.LX)</t>
  </si>
  <si>
    <t>Nhũ tương đóng thùng COLAS CRS-1 (R65) , hàng được giao trên xe tại Tp.LX</t>
  </si>
  <si>
    <t xml:space="preserve"> * Xí nghiệp Xây dựng - Cty TNHH MTV Xây lắp An Giang, giá bán tại Trạm bê tông nhựa nóng tại khu CN Bình Hòa, huyện Châu Thành, An Giang (giá chưa tính phí khoan nhựa và đo E tại hiện trường).  Theo bảng giá ngày 15/3/2016</t>
  </si>
  <si>
    <t>Bê tông nhựa nóng C19</t>
  </si>
  <si>
    <t>Bê tông nhựa nóng C12.5</t>
  </si>
  <si>
    <t>Bê tông nhựa nóng C8</t>
  </si>
  <si>
    <t xml:space="preserve"> * Xí nghiệp Sản xuất Bêtông &amp; Gạch không nung - Cty TNHH MTV Xây lắp An Giang (vận chuyển trong phạm vi bán kính 10 km tính từ Trạm trộn tại P. Mỹ Thạnh, Tp.LX). Giá đã bao gồm phí bơm bê tông. Giá chưa bao gồm: phụ gia chống thấm, phụ gia đông kết nhanh. Theo bảng giá ngày 18/5/2016</t>
  </si>
  <si>
    <t xml:space="preserve">Bê tông tươi, mác 15 MPa </t>
  </si>
  <si>
    <t>Bê tông tươi, mác 20 MPa</t>
  </si>
  <si>
    <t xml:space="preserve">Bê tông tươi, mác 25 MPa </t>
  </si>
  <si>
    <t xml:space="preserve">Bê tông tươi, mác 30 MPa </t>
  </si>
  <si>
    <t>Bê tông tươi, mác 35 Mpa</t>
  </si>
  <si>
    <t>Bê tông tươi, mác 40 Mpa</t>
  </si>
  <si>
    <t>Bê tông tươi, mác 45 Mpa</t>
  </si>
  <si>
    <t>* Công ty TNHH Thành Giao (Phường Tân Phong, Quận 7, Thành phố Hồ Chí Minh) . Theo bảng giá ngày 23/3/2016</t>
  </si>
  <si>
    <t>Carboncor</t>
  </si>
  <si>
    <t>IV</t>
  </si>
  <si>
    <t>Gỗ ván cốp pha (tạp vườn)</t>
  </si>
  <si>
    <t>Gỗ dầu đỏ đố</t>
  </si>
  <si>
    <t>Gỗ dầu đỏ ván</t>
  </si>
  <si>
    <t>Gỗ chò chỉ đố</t>
  </si>
  <si>
    <t>Gỗ cà chất đố</t>
  </si>
  <si>
    <t xml:space="preserve">Gỗ thao lao đố </t>
  </si>
  <si>
    <t xml:space="preserve">Gỗ thao lao ván </t>
  </si>
  <si>
    <t>Gỗ căm xe đố</t>
  </si>
  <si>
    <t>Gỗ căm xe ván</t>
  </si>
  <si>
    <t>CỪ TRÀM: CH Mỹ Linh (Số 19/9E Trần Hưng Đạo, P. Mỹ Quý, Tp.LX, An Giang). Giao hàng trong nội ô Tp.Long Xuyên. Theo bảng giá ngày 18/01/2016</t>
  </si>
  <si>
    <t>Cừ dài 5m  (đầu ngọn 4,0cm - 4,2cm)</t>
  </si>
  <si>
    <t>đ/cây</t>
  </si>
  <si>
    <t>Cừ dài 5m  (đầu ngọn 4,5cm - 5,0cm)</t>
  </si>
  <si>
    <t>Cừ dài 5m  (đầu ngọn 4,8cm - 5,0cm)</t>
  </si>
  <si>
    <t>Cừ dài 5m  (đầu ngọn 5,5cm - 6,5cm)</t>
  </si>
  <si>
    <t>V</t>
  </si>
  <si>
    <t>TRỤ, CỌC VÀ ỐNG CỐNG BÊ TÔNG LY TÂM CÁC LOẠI:</t>
  </si>
  <si>
    <t xml:space="preserve"> * Công ty Cổ phần Bê tông ly tâm An Giang: giao hàng tại Công ty (bốc dỡ 01 đầu lên phương tiện khách hàng). Theo bảng giá ngày 06/02/2015</t>
  </si>
  <si>
    <t xml:space="preserve"> Trụ BTLT 14 A - PC 900</t>
  </si>
  <si>
    <t>đ/trụ</t>
  </si>
  <si>
    <t xml:space="preserve"> Trụ BTLT 14 A - PC 650</t>
  </si>
  <si>
    <t xml:space="preserve"> Trụ BTLT 12 A - PC 540</t>
  </si>
  <si>
    <t xml:space="preserve"> Trụ BTLT 10,5 A - PC 480</t>
  </si>
  <si>
    <t xml:space="preserve"> Trụ BTLT 10,5 A - PC 350</t>
  </si>
  <si>
    <t xml:space="preserve"> Trụ BTLT 8,5 B - PC 300</t>
  </si>
  <si>
    <t xml:space="preserve"> Trụ BTLT 8,5 A - PC 200</t>
  </si>
  <si>
    <t xml:space="preserve"> Đà cản 2,5m</t>
  </si>
  <si>
    <t>đ/cái</t>
  </si>
  <si>
    <t xml:space="preserve"> Đà cản 1,5m</t>
  </si>
  <si>
    <t xml:space="preserve"> Đà cản 1,2m</t>
  </si>
  <si>
    <t xml:space="preserve"> Móng neo  (0,4  x 1,2) m</t>
  </si>
  <si>
    <t xml:space="preserve"> Móng neo  (0,2  x 1,2) m</t>
  </si>
  <si>
    <t xml:space="preserve"> Móng neo  (0,5  x 1,5) m</t>
  </si>
  <si>
    <r>
      <t xml:space="preserve">Cọc BTLT ƯLT PCA </t>
    </r>
    <r>
      <rPr>
        <sz val="10.5"/>
        <rFont val="Calibri"/>
        <family val="2"/>
      </rPr>
      <t>Φ</t>
    </r>
    <r>
      <rPr>
        <sz val="8.6999999999999993"/>
        <rFont val="Times New Roman"/>
        <family val="1"/>
      </rPr>
      <t xml:space="preserve"> 600</t>
    </r>
  </si>
  <si>
    <t>đ/m</t>
  </si>
  <si>
    <r>
      <t xml:space="preserve">Cọc BTLT ƯLT PCA </t>
    </r>
    <r>
      <rPr>
        <sz val="10.5"/>
        <rFont val="Calibri"/>
        <family val="2"/>
      </rPr>
      <t>Φ</t>
    </r>
    <r>
      <rPr>
        <sz val="8.6999999999999993"/>
        <rFont val="Times New Roman"/>
        <family val="1"/>
      </rPr>
      <t xml:space="preserve"> 500</t>
    </r>
  </si>
  <si>
    <r>
      <t xml:space="preserve">Cọc BTLT ƯLT PCA </t>
    </r>
    <r>
      <rPr>
        <sz val="10.5"/>
        <rFont val="Calibri"/>
        <family val="2"/>
      </rPr>
      <t>Φ</t>
    </r>
    <r>
      <rPr>
        <sz val="8.6999999999999993"/>
        <rFont val="Times New Roman"/>
        <family val="1"/>
      </rPr>
      <t xml:space="preserve"> 400</t>
    </r>
  </si>
  <si>
    <r>
      <t xml:space="preserve">Cọc BTLT ƯLT PCA </t>
    </r>
    <r>
      <rPr>
        <sz val="10.5"/>
        <rFont val="Calibri"/>
        <family val="2"/>
      </rPr>
      <t>Φ</t>
    </r>
    <r>
      <rPr>
        <sz val="8.6999999999999993"/>
        <rFont val="Times New Roman"/>
        <family val="1"/>
      </rPr>
      <t xml:space="preserve"> 350</t>
    </r>
  </si>
  <si>
    <r>
      <t xml:space="preserve">Cọc BTLT ƯLT PCA </t>
    </r>
    <r>
      <rPr>
        <sz val="10.5"/>
        <rFont val="Calibri"/>
        <family val="2"/>
      </rPr>
      <t>Φ</t>
    </r>
    <r>
      <rPr>
        <sz val="8.6999999999999993"/>
        <rFont val="Times New Roman"/>
        <family val="1"/>
      </rPr>
      <t xml:space="preserve"> 300</t>
    </r>
  </si>
  <si>
    <r>
      <t xml:space="preserve">Cọc BTLT ƯLT PCA </t>
    </r>
    <r>
      <rPr>
        <sz val="10.5"/>
        <rFont val="Calibri"/>
        <family val="2"/>
      </rPr>
      <t>Φ</t>
    </r>
    <r>
      <rPr>
        <sz val="8.6999999999999993"/>
        <rFont val="Times New Roman"/>
        <family val="1"/>
      </rPr>
      <t xml:space="preserve"> 250</t>
    </r>
  </si>
  <si>
    <r>
      <t xml:space="preserve">Ống cống BTLT ƯLT 4m </t>
    </r>
    <r>
      <rPr>
        <sz val="10.5"/>
        <rFont val="Calibri"/>
        <family val="2"/>
      </rPr>
      <t>Φ</t>
    </r>
    <r>
      <rPr>
        <sz val="8.6999999999999993"/>
        <rFont val="Times New Roman"/>
        <family val="1"/>
      </rPr>
      <t>600 VH miệng loe</t>
    </r>
  </si>
  <si>
    <r>
      <t xml:space="preserve">Ống cống BTLT ƯLT 4m </t>
    </r>
    <r>
      <rPr>
        <sz val="10.5"/>
        <rFont val="Calibri"/>
        <family val="2"/>
      </rPr>
      <t>Φ</t>
    </r>
    <r>
      <rPr>
        <sz val="8.6999999999999993"/>
        <rFont val="Times New Roman"/>
        <family val="1"/>
      </rPr>
      <t>600 H10 miệng loe</t>
    </r>
  </si>
  <si>
    <r>
      <t xml:space="preserve">Ống cống BTLT ƯLT 4m </t>
    </r>
    <r>
      <rPr>
        <sz val="10.5"/>
        <rFont val="Calibri"/>
        <family val="2"/>
      </rPr>
      <t>Φ</t>
    </r>
    <r>
      <rPr>
        <sz val="8.6999999999999993"/>
        <rFont val="Times New Roman"/>
        <family val="1"/>
      </rPr>
      <t>600 H30 miệng loe</t>
    </r>
  </si>
  <si>
    <r>
      <t xml:space="preserve">Ống cống BTLT ƯLT 4m </t>
    </r>
    <r>
      <rPr>
        <sz val="10.5"/>
        <rFont val="Calibri"/>
        <family val="2"/>
      </rPr>
      <t>Φ</t>
    </r>
    <r>
      <rPr>
        <sz val="8.6999999999999993"/>
        <rFont val="Times New Roman"/>
        <family val="1"/>
      </rPr>
      <t>400 VH miệng loe</t>
    </r>
  </si>
  <si>
    <r>
      <t xml:space="preserve">Ống cống BTLT ƯLT 4m </t>
    </r>
    <r>
      <rPr>
        <sz val="10.5"/>
        <rFont val="Calibri"/>
        <family val="2"/>
      </rPr>
      <t>Φ</t>
    </r>
    <r>
      <rPr>
        <sz val="8.6999999999999993"/>
        <rFont val="Times New Roman"/>
        <family val="1"/>
      </rPr>
      <t>400 H10 miệng loe</t>
    </r>
  </si>
  <si>
    <r>
      <t xml:space="preserve">Ống cống BTLT ƯLT 4m </t>
    </r>
    <r>
      <rPr>
        <sz val="10.5"/>
        <rFont val="Calibri"/>
        <family val="2"/>
      </rPr>
      <t>Φ</t>
    </r>
    <r>
      <rPr>
        <sz val="8.6999999999999993"/>
        <rFont val="Times New Roman"/>
        <family val="1"/>
      </rPr>
      <t>400 H30 miệng loe</t>
    </r>
  </si>
  <si>
    <r>
      <t xml:space="preserve">Ống cống BTLT ƯLT 4m </t>
    </r>
    <r>
      <rPr>
        <sz val="10.5"/>
        <rFont val="Calibri"/>
        <family val="2"/>
      </rPr>
      <t>Φ</t>
    </r>
    <r>
      <rPr>
        <sz val="8.6999999999999993"/>
        <rFont val="Times New Roman"/>
        <family val="1"/>
      </rPr>
      <t>300 VH miệng loe</t>
    </r>
  </si>
  <si>
    <r>
      <t xml:space="preserve">Ống cống BTLT ƯLT 4m </t>
    </r>
    <r>
      <rPr>
        <sz val="10.5"/>
        <rFont val="Calibri"/>
        <family val="2"/>
      </rPr>
      <t>Φ</t>
    </r>
    <r>
      <rPr>
        <sz val="8.6999999999999993"/>
        <rFont val="Times New Roman"/>
        <family val="1"/>
      </rPr>
      <t>300 H10 miệng loe</t>
    </r>
  </si>
  <si>
    <r>
      <t xml:space="preserve">Ống cống BTLT ƯLT 4m </t>
    </r>
    <r>
      <rPr>
        <sz val="10.5"/>
        <rFont val="Calibri"/>
        <family val="2"/>
      </rPr>
      <t>Φ</t>
    </r>
    <r>
      <rPr>
        <sz val="8.6999999999999993"/>
        <rFont val="Times New Roman"/>
        <family val="1"/>
      </rPr>
      <t>300 H30 miệng loe</t>
    </r>
  </si>
  <si>
    <t xml:space="preserve"> * Công ty Cổ phần Địa ốc An Giang sản xuất (giao hàng tại Nhà máy cấu kiện bê tông An Giang, xã Vĩnh Thạnh Trung, huyện Châu Phú). Theo bảng giá ngày 01/3/2016</t>
  </si>
  <si>
    <t xml:space="preserve"> - Cống bê tông ly tâm sản xuất theo tiêu chuẩn 22TCN 272 - 05</t>
  </si>
  <si>
    <t>Cống Φ 400mm, D = 50mm, M = 28Mpa</t>
  </si>
  <si>
    <r>
      <t>Hoạt tải 3 x 10</t>
    </r>
    <r>
      <rPr>
        <vertAlign val="superscript"/>
        <sz val="10.5"/>
        <rFont val="Times New Roman"/>
        <family val="1"/>
      </rPr>
      <t>-3</t>
    </r>
    <r>
      <rPr>
        <sz val="10.5"/>
        <rFont val="Times New Roman"/>
        <family val="1"/>
      </rPr>
      <t xml:space="preserve"> Mpa (cống dọc đường), cấp tải thấp</t>
    </r>
  </si>
  <si>
    <t>Hoạt tải 65% HL93 (cống qua đường &gt; H10), cấp tải tiêu chuẩn</t>
  </si>
  <si>
    <t>Hoạt tải 100% HL93 (cống qua đường &gt; H30), cấp tải cao</t>
  </si>
  <si>
    <t>Cống Φ 600mm, D = 63mm, M = 28Mpa</t>
  </si>
  <si>
    <t>Cống Φ 800mm, D = 80mm, M = 28Mpa</t>
  </si>
  <si>
    <t>Cống Φ 1000mm, D = 100mm</t>
  </si>
  <si>
    <t>Cống Φ 1200mm, D = 120mm</t>
  </si>
  <si>
    <t>Cống Φ 1500mm, D = 150mm</t>
  </si>
  <si>
    <t>Gối cống các loại M200 :</t>
  </si>
  <si>
    <t>Gối cống fi 400</t>
  </si>
  <si>
    <t>Gối cống fi 600</t>
  </si>
  <si>
    <t>Gối cống fi 800</t>
  </si>
  <si>
    <t>Gối cống fi 1000</t>
  </si>
  <si>
    <t>Giăng cao su các loại:</t>
  </si>
  <si>
    <t>Giăng cao su cống fi 300</t>
  </si>
  <si>
    <t>đ/sợi</t>
  </si>
  <si>
    <t>Giăng cao su cống fi 400</t>
  </si>
  <si>
    <t>Giăng cao su cống fi 500</t>
  </si>
  <si>
    <t>Giăng cao su cống fi 600</t>
  </si>
  <si>
    <t>Giăng cao su cống fi 800</t>
  </si>
  <si>
    <t>Giăng cao su cống fi 1000</t>
  </si>
  <si>
    <t>Giăng cao su cống fi 1500</t>
  </si>
  <si>
    <t>Giăng cao su cống fi 1800</t>
  </si>
  <si>
    <t>Giăng cao su cống fi 2000</t>
  </si>
  <si>
    <r>
      <t xml:space="preserve"> - Cọc bê tông dự ứng lực sản xuất theo tiêu chuẩn 22TCN272-05 và TCXD 205:1998, Cường độ thép 17.250kg/cm</t>
    </r>
    <r>
      <rPr>
        <b/>
        <vertAlign val="superscript"/>
        <sz val="10.5"/>
        <rFont val="Times New Roman"/>
        <family val="1"/>
      </rPr>
      <t>2</t>
    </r>
  </si>
  <si>
    <t>Cọc bê tông DƯL 100 x 100, M400</t>
  </si>
  <si>
    <t>Cọc bê tông DƯL 120 x 120, M400</t>
  </si>
  <si>
    <t>Cọc bê tông DƯL 150 x 150, M400</t>
  </si>
  <si>
    <t xml:space="preserve"> * Cọc bê tông ly tâm: Cơ sở sản xuất Lê Giang (địa chỉ: Khóm Hưng Thạnh, P.Mỹ Thạnh, Tp.LX, Tp.LX), giá bán tại nơi sản xuất, chưa tính chi phí bốc dỡ vận chuyển. Theo bảng giá ngày 08/10/2015</t>
  </si>
  <si>
    <t>Cọc bê tông ly tâm fi 100, BT mác 250, dài từ 2m - 4m</t>
  </si>
  <si>
    <t>Cọc bê tông ly tâm fi 150, BT mác 250, dài từ 2m - 4m</t>
  </si>
  <si>
    <t>* Cống Bê tông Ly Tâm : Cty TNHH Trường Thắng (Địa chỉ liên hệ: số 116/5 Thoại Ngọc Hầu, P.Mỹ Phước, Tp.LX, An Giang), giao hàng tại Khu Công nghiệp Bình Hòa, huyện Châu Thành. Theo bảng giá ngày 17/02/2016</t>
  </si>
  <si>
    <t>Cống Bê tông ly tâm</t>
  </si>
  <si>
    <t>Cống  BTLT D400 VH cấp tải thấp</t>
  </si>
  <si>
    <t>đ/md</t>
  </si>
  <si>
    <t>Cống  BTLT D400 H10 cấp tải tiêu chuẩn</t>
  </si>
  <si>
    <t>Cống  BTLT D400 H30 cấp tải cao</t>
  </si>
  <si>
    <t>Cống  BTLT D600 VH cấp tải thấp</t>
  </si>
  <si>
    <t>Cống  BTLT D600 H10 cấp tải tiêu chuẩn</t>
  </si>
  <si>
    <t>Cống  BTLT D600 H30 cấp tải cao</t>
  </si>
  <si>
    <t>Cống  BTLT D800 VH cấp tải thấp</t>
  </si>
  <si>
    <t>Cống  BTLT D800 H10 cấp tải tiêu chuẩn</t>
  </si>
  <si>
    <t>Cống  BTLT D800 H30 cấp tải cao</t>
  </si>
  <si>
    <t>Cống  BTLT D1000 VH cấp tải thấp</t>
  </si>
  <si>
    <t>Cống  BTLT D1000 H10 cấp tải tiêu chuẩn</t>
  </si>
  <si>
    <t>Cống  BTLT D1000 H30 cấp tải cao</t>
  </si>
  <si>
    <t>Cống  BTLT D1200 VH cấp tải thấp</t>
  </si>
  <si>
    <t>Cống  BTLT D1200 H10 cấp tải tiêu chuẩn</t>
  </si>
  <si>
    <t>Cống  BTLT D1200 H30 cấp tải cao</t>
  </si>
  <si>
    <t>Cống  BTLT D1500 VH cấp tải thấp</t>
  </si>
  <si>
    <t>Cống  BTLT D1500 H10 cấp tải tiêu chuẩn</t>
  </si>
  <si>
    <t>Cống  BTLT D1500 H30 cấp tải cao</t>
  </si>
  <si>
    <t>Gối cống</t>
  </si>
  <si>
    <r>
      <t xml:space="preserve">Gối cống </t>
    </r>
    <r>
      <rPr>
        <sz val="10.5"/>
        <rFont val="Calibri"/>
        <family val="2"/>
      </rPr>
      <t>Φ</t>
    </r>
    <r>
      <rPr>
        <sz val="10.5"/>
        <rFont val="Times New Roman"/>
        <family val="1"/>
      </rPr>
      <t xml:space="preserve"> 400 </t>
    </r>
  </si>
  <si>
    <r>
      <t xml:space="preserve">Gối cống </t>
    </r>
    <r>
      <rPr>
        <sz val="10.5"/>
        <rFont val="Calibri"/>
        <family val="2"/>
      </rPr>
      <t>Φ</t>
    </r>
    <r>
      <rPr>
        <sz val="10.5"/>
        <rFont val="Times New Roman"/>
        <family val="1"/>
      </rPr>
      <t xml:space="preserve"> 600</t>
    </r>
  </si>
  <si>
    <r>
      <t xml:space="preserve">Gối cống </t>
    </r>
    <r>
      <rPr>
        <sz val="10.5"/>
        <rFont val="Calibri"/>
        <family val="2"/>
      </rPr>
      <t>Φ</t>
    </r>
    <r>
      <rPr>
        <sz val="10.5"/>
        <rFont val="Times New Roman"/>
        <family val="1"/>
      </rPr>
      <t xml:space="preserve"> 800</t>
    </r>
  </si>
  <si>
    <r>
      <t xml:space="preserve">Gối cống </t>
    </r>
    <r>
      <rPr>
        <sz val="10.5"/>
        <rFont val="Calibri"/>
        <family val="2"/>
      </rPr>
      <t>Φ</t>
    </r>
    <r>
      <rPr>
        <sz val="10.5"/>
        <rFont val="Times New Roman"/>
        <family val="1"/>
      </rPr>
      <t xml:space="preserve"> 100</t>
    </r>
  </si>
  <si>
    <t>Ron cống Bê tông</t>
  </si>
  <si>
    <r>
      <t xml:space="preserve">Ron hình thang </t>
    </r>
    <r>
      <rPr>
        <sz val="10.5"/>
        <rFont val="Calibri"/>
        <family val="2"/>
      </rPr>
      <t>Φ 300</t>
    </r>
  </si>
  <si>
    <r>
      <t xml:space="preserve">Ron hình thang </t>
    </r>
    <r>
      <rPr>
        <sz val="10.5"/>
        <rFont val="Calibri"/>
        <family val="2"/>
      </rPr>
      <t>Φ 400</t>
    </r>
  </si>
  <si>
    <r>
      <t xml:space="preserve">Ron hình thang </t>
    </r>
    <r>
      <rPr>
        <sz val="10.5"/>
        <rFont val="Calibri"/>
        <family val="2"/>
      </rPr>
      <t>Φ 600</t>
    </r>
  </si>
  <si>
    <r>
      <t xml:space="preserve">Ron hình thang </t>
    </r>
    <r>
      <rPr>
        <sz val="10.5"/>
        <rFont val="Calibri"/>
        <family val="2"/>
      </rPr>
      <t>Φ 800</t>
    </r>
  </si>
  <si>
    <r>
      <t xml:space="preserve">Ron hình thang </t>
    </r>
    <r>
      <rPr>
        <sz val="10.5"/>
        <rFont val="Calibri"/>
        <family val="2"/>
      </rPr>
      <t>Φ 1000</t>
    </r>
  </si>
  <si>
    <r>
      <t xml:space="preserve">Ron hình tam giác </t>
    </r>
    <r>
      <rPr>
        <sz val="10.5"/>
        <rFont val="Calibri"/>
        <family val="2"/>
      </rPr>
      <t>Φ</t>
    </r>
    <r>
      <rPr>
        <sz val="10.5"/>
        <rFont val="Times New Roman"/>
        <family val="1"/>
      </rPr>
      <t xml:space="preserve"> 300</t>
    </r>
  </si>
  <si>
    <r>
      <t xml:space="preserve">Ron hình tam giác </t>
    </r>
    <r>
      <rPr>
        <sz val="10.5"/>
        <rFont val="Calibri"/>
        <family val="2"/>
      </rPr>
      <t>Φ</t>
    </r>
    <r>
      <rPr>
        <sz val="10.5"/>
        <rFont val="Times New Roman"/>
        <family val="1"/>
      </rPr>
      <t xml:space="preserve"> 400</t>
    </r>
  </si>
  <si>
    <r>
      <t xml:space="preserve">Ron hình tam giác </t>
    </r>
    <r>
      <rPr>
        <sz val="10.5"/>
        <rFont val="Calibri"/>
        <family val="2"/>
      </rPr>
      <t>Φ</t>
    </r>
    <r>
      <rPr>
        <sz val="10.5"/>
        <rFont val="Times New Roman"/>
        <family val="1"/>
      </rPr>
      <t xml:space="preserve"> 600</t>
    </r>
  </si>
  <si>
    <r>
      <t xml:space="preserve">Ron hình tam giác </t>
    </r>
    <r>
      <rPr>
        <sz val="10.5"/>
        <rFont val="Calibri"/>
        <family val="2"/>
      </rPr>
      <t>Φ</t>
    </r>
    <r>
      <rPr>
        <sz val="10.5"/>
        <rFont val="Times New Roman"/>
        <family val="1"/>
      </rPr>
      <t xml:space="preserve"> 800</t>
    </r>
  </si>
  <si>
    <r>
      <t xml:space="preserve">Ron hình tam giác </t>
    </r>
    <r>
      <rPr>
        <sz val="10.5"/>
        <rFont val="Calibri"/>
        <family val="2"/>
      </rPr>
      <t>Φ</t>
    </r>
    <r>
      <rPr>
        <sz val="10.5"/>
        <rFont val="Times New Roman"/>
        <family val="1"/>
      </rPr>
      <t xml:space="preserve"> 1000</t>
    </r>
  </si>
  <si>
    <t xml:space="preserve"> * Cọc bê tông dự ứng lực: Cty TNHH Thái Sơn An Giang sản xuất (Địa chỉ: Lô 05 KCN Phú Hòa, huyện Thoại Sơn, An Giang), giao hàng tại nơi sản xuất, chưa tính chi phí bốc dỡ vận chuyển. Theo bảng giá ngày 04/3/2016</t>
  </si>
  <si>
    <t>Cọc bê tông DƯL, tiết diện 100x100, M400, chiều dài: 1,0 -4,0 mét</t>
  </si>
  <si>
    <t>Cọc bê tông DƯL, tiết diện 120x120, M400, chiều dài: 1,0 -5,0 mét</t>
  </si>
  <si>
    <t>Cọc bê tông DƯL, tiết diện 150x150, M400, chiều dài: 1,0 -6,0 mét</t>
  </si>
  <si>
    <t>Cọc bê tông DƯL, tiết diện 150x150, M400, chiều dài: 8,0 mét</t>
  </si>
  <si>
    <t xml:space="preserve"> * Cống bê tông ly tâm: Cty TNHH MTV Xây Lắp An Giang sản xuất (giao hàng tại Nhà máy, P. Mỹ Thạnh, Tp. LX). Theo bảng giá ngày 18/5/2016 </t>
  </si>
  <si>
    <t xml:space="preserve"> - Cống bê tông ly tâm sản xuất theo tiêu chuẩn TCCS01:2011</t>
  </si>
  <si>
    <r>
      <t>Hoạt tải 3 x 10</t>
    </r>
    <r>
      <rPr>
        <vertAlign val="superscript"/>
        <sz val="12"/>
        <rFont val="Times New Roman"/>
        <family val="1"/>
      </rPr>
      <t>-3</t>
    </r>
    <r>
      <rPr>
        <sz val="12"/>
        <rFont val="Times New Roman"/>
        <family val="1"/>
      </rPr>
      <t xml:space="preserve"> Mpa (cống dọc đường), cấp tải thấp</t>
    </r>
  </si>
  <si>
    <t>Cống Φ 600mm, D = 50mm, M = 28Mpa</t>
  </si>
  <si>
    <t>Cống Φ 1000mm, D = 100mm, M = 28Mpa</t>
  </si>
  <si>
    <t>Cống Φ 1200mm, D = 120mm, M = 28Mpa</t>
  </si>
  <si>
    <t>Cống Φ 1500mm, D = 130mm, M = 28Mpa</t>
  </si>
  <si>
    <t>VI</t>
  </si>
  <si>
    <t>XI MĂNG :</t>
  </si>
  <si>
    <t xml:space="preserve"> * Xi măng các loại : Cty TNHH MTV Xây Lắp AG (giao tại Nhà máy xi măng An Giang). Theo bảng giá ngày 18/5/2016</t>
  </si>
  <si>
    <t xml:space="preserve"> Xi măng ACIFA PCB 30 (bao 50kg)</t>
  </si>
  <si>
    <t>đ/bao</t>
  </si>
  <si>
    <t xml:space="preserve"> Xi măng ACIFA PCB 40 (bao 50kg)</t>
  </si>
  <si>
    <t>Xi măng trắng  (1 bao = 40kg)</t>
  </si>
  <si>
    <t>Xi măng Holcim PCB 40 (bao 50kg)</t>
  </si>
  <si>
    <t xml:space="preserve"> * Xi măng Vicem Hà Tiên (giá bán tại nhà máy Kiên Lương; trạm nghiền Phú Hữu, trạm nghiền Long An, chưa bao gồm các chi phí khác). Theo bảng giá ngày 22/4/2016</t>
  </si>
  <si>
    <t>Xi măng Vicem Hà Tiên PCB 40 (bao 50kg)</t>
  </si>
  <si>
    <t>Xi măng Vicem Hà Tiên đa dụng (bao 50kg)</t>
  </si>
  <si>
    <t>Xi măng Vicem Hà Tiên xây tô (bao 50kg, đường thủy)</t>
  </si>
  <si>
    <t>Xi măng Vicem Hà Tiên chịu mặn/phèn (bao 50kg)</t>
  </si>
  <si>
    <t xml:space="preserve"> * Xi măng FICO Tây Ninh : Theo bảng giá ngày 01/10/2015</t>
  </si>
  <si>
    <t>Xi măng FICO PCB40 (bao 50kg)</t>
  </si>
  <si>
    <t xml:space="preserve"> * Xi măng Công Thanh : Theo bảng giá ngày 04/5/2016</t>
  </si>
  <si>
    <t>Xi măng Công Thanh PCB40 (bao 50kg)</t>
  </si>
  <si>
    <t xml:space="preserve"> * Xi măng Lavica (giao hàng tại nhà máy xi măng thuộc khu vực Vĩnh Trinh, Tp.Cần Thơ, giá vận chuyển đường xe từ nhà máy đến nội ô Tp. Long Xuyên: 3.000 đ/bao, giá bốc xếp xi măng cho công trình trong nội ô Tp.Long Xuyên: 3.000 đ/bao). Theo bảng giá ngày 02/02/2016</t>
  </si>
  <si>
    <t>Xi măng Lavica PCB40 (bao 50kg)</t>
  </si>
  <si>
    <t>VII</t>
  </si>
  <si>
    <t>THÉP CÁC LOẠI :</t>
  </si>
  <si>
    <t>* Công ty TNHH Thương mại thép Pomina. Giá chưa bao gồm phí vận chuyển và bẻ, giao hàng trên phương tiện bên mua tại Nhà máy, đường 27, KCN Sóng Thần II, huyện Dĩ An, tỉnh Bình Dương. Theo bảng giá ngày 03/5/2016</t>
  </si>
  <si>
    <t>Thép cuộn fi 6mm CB240T</t>
  </si>
  <si>
    <t xml:space="preserve">Thép cuộn fi 8mm CB240T </t>
  </si>
  <si>
    <t xml:space="preserve">Thép cuộn fi 10mm CB240T </t>
  </si>
  <si>
    <t>Thép cây vằn  fi 10 SD390</t>
  </si>
  <si>
    <t xml:space="preserve">Thép cây vằn fi 12-32  SD390 </t>
  </si>
  <si>
    <t xml:space="preserve">Thép cây vằn fi 36-40 SD390 </t>
  </si>
  <si>
    <t>Thép cây vằn  fi 10 Grade 60</t>
  </si>
  <si>
    <t xml:space="preserve">Thép cây vằn fi 12-32  Grade 60 </t>
  </si>
  <si>
    <t xml:space="preserve">Thép cây vằn fi 36-40  Grade 60 </t>
  </si>
  <si>
    <t>Thép cây vằn  fi 10 SD490</t>
  </si>
  <si>
    <t xml:space="preserve">Thép cây vằn fi 12-32  SD490 </t>
  </si>
  <si>
    <t xml:space="preserve">Thép cây vằn fi 36-40 SD490 </t>
  </si>
  <si>
    <t>Thép cây vằn  fi 10 CB500V</t>
  </si>
  <si>
    <t>Thép cây vằn fi 12-32  CB500V</t>
  </si>
  <si>
    <t>Thép cây vằn fi 36-40 CB500V</t>
  </si>
  <si>
    <t>* Công ty Thép Tây Đô: giao hàng tại Nhà máy (lô 45, đường số 2, KCN Trà Nóc 1, Tp.Cần Thơ). Theo bảng giá ngày 01/5/2016</t>
  </si>
  <si>
    <t>Thép cuộn  fi 6 CT3</t>
  </si>
  <si>
    <t>Thép cuộn  fi 8 CT3</t>
  </si>
  <si>
    <t xml:space="preserve">Thép thanh vằn  fi 10  SD295A-CB300 </t>
  </si>
  <si>
    <t>Thép thanh vằn  fi 12 - 25 SD295A-CB300</t>
  </si>
  <si>
    <t>* Xí nghiệp Cơ khí Long Xuyên - Cửa hàng KD Sắt Thép, địa chỉ liên hệ: 28/1 Trần Hưng Đạo, P. Mỹ Quý, Tp.LX, An Giang. Theo bảng giá ngày 25/11/2015</t>
  </si>
  <si>
    <t xml:space="preserve"> - Tole tấm các loại:</t>
  </si>
  <si>
    <t xml:space="preserve"> 3 li x 1,5m x 6m (SS400 - Trung Quốc)</t>
  </si>
  <si>
    <t xml:space="preserve"> 4 li x 1,5m x 6m (SS400 - Trung Quốc)</t>
  </si>
  <si>
    <t xml:space="preserve"> 5 li x 1,5m x 6m (SS400 - Trung Quốc)</t>
  </si>
  <si>
    <t xml:space="preserve"> 6 li x 1,5m x 6m (SS400 - Trung Quốc)</t>
  </si>
  <si>
    <t xml:space="preserve"> 8 li x 1,5m x 6m (SS400 - Trung Quốc)</t>
  </si>
  <si>
    <t xml:space="preserve"> 10 li x 1,5m x 6m (SS400 - Trung Quốc)</t>
  </si>
  <si>
    <t xml:space="preserve"> 12 li x 1,5m x 6m (SS400 - Trung Quốc)</t>
  </si>
  <si>
    <t xml:space="preserve"> - Thép hình chữ I:</t>
  </si>
  <si>
    <t xml:space="preserve"> Thép hình I 100 dài 6m (SS400 - Trung Quốc)</t>
  </si>
  <si>
    <t xml:space="preserve"> Thép hình I 120 dài 6m (SS400 - Trung Quốc)</t>
  </si>
  <si>
    <t xml:space="preserve"> Thép hình I 150 dài 6m (SS400 - Trung Quốc)</t>
  </si>
  <si>
    <t xml:space="preserve"> Thép hình I 200 dài 6m (SS400 - Trung Quốc)</t>
  </si>
  <si>
    <t xml:space="preserve"> Thép hình I 250 dài 6m (SS400 - Trung Quốc)</t>
  </si>
  <si>
    <t xml:space="preserve"> Thép hình I 300 dài 6m (SS400 - Trung Quốc)</t>
  </si>
  <si>
    <t xml:space="preserve"> - Thép hộp các loại (cây dài 6m):</t>
  </si>
  <si>
    <t>Thép hộp 13 x 26 x 1,2 (Trung Quốc)</t>
  </si>
  <si>
    <t>Thép hộp 20 x 40 x 1,2 (Trung Quốc)</t>
  </si>
  <si>
    <t>Thép hộp 25 x 50 x 1,2 (Trung Quốc)</t>
  </si>
  <si>
    <t>Thép hộp 30 x 60 x 1,2 (Trung Quốc)</t>
  </si>
  <si>
    <t>Thép hộp 40 x 80 x 1,2 (Trung Quốc)</t>
  </si>
  <si>
    <t>Thép hộp 50 x 100 x 1,4 (Trung Quốc)</t>
  </si>
  <si>
    <t>Thép hộp 50 x 100 x 1,8 (Trung Quốc)</t>
  </si>
  <si>
    <t>Thép hộp 60 x 120 x 1,4 (Trung Quốc)</t>
  </si>
  <si>
    <t xml:space="preserve"> - Thép ống kẽm mạ một mặt (ống dài 6m):</t>
  </si>
  <si>
    <t xml:space="preserve">Ống kẽm fi 21 x 1,4 li </t>
  </si>
  <si>
    <t>đ/ống</t>
  </si>
  <si>
    <t>Ống kẽm fi 27 x 1,4 li</t>
  </si>
  <si>
    <t>Ống kẽm fi 34 x 1,4 li</t>
  </si>
  <si>
    <t>Ống kẽm fi 42 x 1,4 li</t>
  </si>
  <si>
    <t>Ống kẽm fi 49 x 1,4 li</t>
  </si>
  <si>
    <t>Ống kẽm fi 60 x 1,4 li</t>
  </si>
  <si>
    <t>Ống kẽm fi 76 x 1,4 li</t>
  </si>
  <si>
    <t>Ống kẽm fi 90 x 1,4 li</t>
  </si>
  <si>
    <t>Ống kẽm fi 114 x 1,4 li</t>
  </si>
  <si>
    <t xml:space="preserve"> - Thép ống kẽm mạ kẽm NQ hai mặt (ống dài 6m):</t>
  </si>
  <si>
    <t>Ống kẽm fi 21 x 1,9 li</t>
  </si>
  <si>
    <t>Ống kẽm fi 27 x 2,1 li</t>
  </si>
  <si>
    <t>Ống kẽm fi 34 x 2,1 li</t>
  </si>
  <si>
    <t>Ống kẽm fi 42 x 2,1 li</t>
  </si>
  <si>
    <t>Ống kẽm fi 49 x 2,3 li</t>
  </si>
  <si>
    <t>Ống kẽm fi 60 x 2,3 li</t>
  </si>
  <si>
    <t>Ống kẽm fi 76 x 2,3 li</t>
  </si>
  <si>
    <t>Ống kẽm fi 90 x 2,1 li</t>
  </si>
  <si>
    <t>* Cty TNHH thép SeAH Việt Nam (số 7, đường 3A, KCN Biên Hòa II, Đồng Nai), giao hàng tại tỉnh An Giang. Theo bảng giá ngày 03/5/2016</t>
  </si>
  <si>
    <t xml:space="preserve"> - Ống thép mạ kẽm (BS 1387 hoặc ASTM A53)</t>
  </si>
  <si>
    <t xml:space="preserve">Ống thép mạ kẽm nhúng nóng dày 1.6mm-1.9mm. Đường kính từ DN10- DN100 </t>
  </si>
  <si>
    <t xml:space="preserve">Ống thép mạ kẽm nhúng nóng dày 2.0mm-5.4mm. Đường kính từ DN10 - DN100 </t>
  </si>
  <si>
    <t xml:space="preserve">Ống thép mạ kẽm nhúng nóng dày trên 5.4mmmm. Đường kính từ DN10 - DN100 </t>
  </si>
  <si>
    <t xml:space="preserve">Ống thép mạ kẽm nhúng nóng dày 3.4mm - 8.2mm. Đường kính từ DN125 - DN200 </t>
  </si>
  <si>
    <t xml:space="preserve"> - Ống tôn kẽm (tròn, vuông, hộp) mã hiệu BS 1387 hoặc ASTM A53</t>
  </si>
  <si>
    <t xml:space="preserve">Ống tôn kẽm (tròn, vuông, hộp) dày 1.0mm-2.3mm. Đường kính từ DN10 - DN200 </t>
  </si>
  <si>
    <t>* Chi nhánh Cty TNHH MTV Thép Hòa Phát (số 129 Nguyễn Hữu Cảnh, P.22, Q.Bình Thạnh, Tp.HCM), giao hàng tại tỉnh An Giang. Theo bảng giá ngày 01/01/2016</t>
  </si>
  <si>
    <t>Thép cuộn Φ6, Φ8, Φ10 mác thép CB240T</t>
  </si>
  <si>
    <t>Thép thanh vằn D10 mác CB300-V; CB400-V; SD295; SD390</t>
  </si>
  <si>
    <t>Thép thanh vằn D12 ÷ D32 mác CB300-V; CB400-V; SD295; SD390</t>
  </si>
  <si>
    <t>Thép thanh vằn D36 mác CB300-V; CB400-V; SD295; SD390</t>
  </si>
  <si>
    <t>Thép thanh vằn D40 mác CB300-V; CB400-V; SD295; SD390</t>
  </si>
  <si>
    <t>Thép thanh vằn D10 mác GR60</t>
  </si>
  <si>
    <r>
      <t xml:space="preserve">Thép thanh vằn D12 </t>
    </r>
    <r>
      <rPr>
        <sz val="11"/>
        <rFont val="Calibri"/>
        <family val="2"/>
      </rPr>
      <t>÷</t>
    </r>
    <r>
      <rPr>
        <sz val="11"/>
        <rFont val="Times New Roman"/>
        <family val="1"/>
      </rPr>
      <t xml:space="preserve"> D32 mác GR60</t>
    </r>
  </si>
  <si>
    <t>Thép thanh vằn D10 mác CB500-V; GR460; SD490</t>
  </si>
  <si>
    <r>
      <t xml:space="preserve">Thép thanh vằn D12 </t>
    </r>
    <r>
      <rPr>
        <sz val="11"/>
        <rFont val="Calibri"/>
        <family val="2"/>
      </rPr>
      <t>÷</t>
    </r>
    <r>
      <rPr>
        <sz val="11"/>
        <rFont val="Times New Roman"/>
        <family val="1"/>
      </rPr>
      <t xml:space="preserve"> D32 mác CB500-V; GR460; SD490</t>
    </r>
  </si>
  <si>
    <t>* Công ty TNHH Thép VINA KYOEI (KCN Phú Mỹ I, huyện Tân Thành, tỉnh Bà Rịa- Vũng Tàu), giá bán cho Nhà phân phối chính thức và giao hàng tại nhà máy Vina Kyoei. Theo bảng giá ngày 03/05/2016</t>
  </si>
  <si>
    <t>Thép cuộn Φ6 mác thép CB240-T/ CB300-T/ SWRM12/ CT3</t>
  </si>
  <si>
    <t>Thép cuộn Φ8 mác thép CB240-T/ CB300-T/ SWRM12/ CT6</t>
  </si>
  <si>
    <t>Thép cuộn Φ10 mác thép CB240-T/ CB300-T/ SWRM12/ CT8</t>
  </si>
  <si>
    <t>Thép thanh vằn D10 mác CB300-V/SD295A</t>
  </si>
  <si>
    <t>Thép thanh vằn D10 mác CB400-V/SD390/G60</t>
  </si>
  <si>
    <r>
      <t xml:space="preserve">Thép thanh vằn D12 </t>
    </r>
    <r>
      <rPr>
        <sz val="11"/>
        <rFont val="Calibri"/>
        <family val="2"/>
      </rPr>
      <t>÷</t>
    </r>
    <r>
      <rPr>
        <sz val="11"/>
        <rFont val="Times New Roman"/>
        <family val="1"/>
      </rPr>
      <t xml:space="preserve"> D32 mác CB300V/SD295A</t>
    </r>
  </si>
  <si>
    <r>
      <t xml:space="preserve">Thép thanh vằn D12 </t>
    </r>
    <r>
      <rPr>
        <sz val="11"/>
        <rFont val="Calibri"/>
        <family val="2"/>
      </rPr>
      <t>÷</t>
    </r>
    <r>
      <rPr>
        <sz val="11"/>
        <rFont val="Times New Roman"/>
        <family val="1"/>
      </rPr>
      <t xml:space="preserve"> D32 mác CB400V/SD390/G60</t>
    </r>
  </si>
  <si>
    <t>VIII</t>
  </si>
  <si>
    <t xml:space="preserve">SẢN PHẨM HỆ GIÀN VÀ XÀ GỒ THÉP MẠ </t>
  </si>
  <si>
    <t xml:space="preserve"> * Công ty NS TNHH BLUESCOPE LYSAGHT VIỆT NAM. Theo bảng giá từ ngày 01 đến ngày 30/5/2016. Giao tại nhà máy.</t>
  </si>
  <si>
    <t xml:space="preserve">  - Xà gồ, thanh dàn, vì kèo thép mạ hợp kim nhôm kẽm cường độ cao - BLUESCOPELYSAGHT</t>
  </si>
  <si>
    <t>Lysaght Smartruss C4048, dày 0.53mm TCT (Bề dày sau mạ 0.53mm)</t>
  </si>
  <si>
    <t>Lysaght Smartruss C4060, dày 0.65mm TCT (Bề dày sau mạ 0.65mm)</t>
  </si>
  <si>
    <t>Lysaght Smartruss C4075, dày 0.75mm TCT (Bề dày sau mạ 0.8mm)</t>
  </si>
  <si>
    <t>Lysaght Smartruss C7650, dày 0.65mm TCT (Bề dày sau mạ 0.65mm)</t>
  </si>
  <si>
    <t>Lysaght Smartruss C7575, dày 0.8mm TCT (Bề dày sau mạ 0.8mm)</t>
  </si>
  <si>
    <t>Lysaght Smartruss C7510, dày 1.05mm TCT (Bề dày sau mạ 1.05mm)</t>
  </si>
  <si>
    <t>Lysaght Smartruss C10075, dày 0.8mm TCT (Bề dày sau mạ 0.8mm)</t>
  </si>
  <si>
    <t>Lysaght Smartruss C10010, dày 1.05mm TCT (Bề dày sau mạ 1.05mm)</t>
  </si>
  <si>
    <t xml:space="preserve">  - Thanh rui mè thép mạ hợp kim nhôm kẽm cường độ cao BLUESCOPELYSAGHT</t>
  </si>
  <si>
    <t>Lysaght Smartruss TS4048, dày 0.53mmTCT (Bề dày sau mạ 0.53mm)</t>
  </si>
  <si>
    <t>Lysaght Smartruss TS4060, dày 0.65mmTCT (Bề dày sau mạ 0.65mm)</t>
  </si>
  <si>
    <t>Lysaght Smartruss TS6175, dày 0.8mmTCT (Bề dày sau mạ 0.8mm)</t>
  </si>
  <si>
    <t>Lysaght Smartruss TS6110,  dày 1.05mmTCT (Bề dày sau mạ 1.05mm)</t>
  </si>
  <si>
    <t xml:space="preserve"> - Phụ kiện đi kèm thép mạ hợp kim nhôm kẽm BLUESCOPELYSAGHT</t>
  </si>
  <si>
    <t>Vít liên kết ITW BTEK 12-14x20</t>
  </si>
  <si>
    <t>đ/con</t>
  </si>
  <si>
    <t>Vít liên kết TRUSSTITE (d=6mm)</t>
  </si>
  <si>
    <t>Bulon đạn M12 và ty răng 8.8 - M12x150mm, 2 long đền, 2 tán</t>
  </si>
  <si>
    <t>Bát liên kết đỉnh kèo mạ nhôm kẽm, dày 1.0mm - BM3</t>
  </si>
  <si>
    <t>Bát liên kết kèo và wall plate mạ kẽm, dày 1.9mm - BM1</t>
  </si>
  <si>
    <t>Thanh valley rafter U40/U61, mạ nhôm kẽm, dày 0.75mm, màu xanh-AZ150 (dài 6m)</t>
  </si>
  <si>
    <t>Thanh valley rafter U40/U61, mạ nhôm kẽm, dày 0.53mm, màu xanh-AZ150 (dài 6m)</t>
  </si>
  <si>
    <t>Máng xối thung lũng, Colorbond, dày 0,48mm APT,khổ 300mm, mạ màu (dài 6m)</t>
  </si>
  <si>
    <t>Máng xối thung lũng, thép Zincalume,khổ 300mm (dài 6m)</t>
  </si>
  <si>
    <t>Thanh giằng mái khổ 50mm, mạ nhôm kẽm, D 0.75mm, xanh AZ150 (dài 50m)</t>
  </si>
  <si>
    <r>
      <t xml:space="preserve">  - Khung thép, xà gồ thép khẩu độ lớn, mạ kẽm cường độ cao Lysaght Zine Hi Ten 275g/m</t>
    </r>
    <r>
      <rPr>
        <b/>
        <vertAlign val="superscript"/>
        <sz val="10.5"/>
        <rFont val="Times New Roman"/>
        <family val="1"/>
      </rPr>
      <t>2</t>
    </r>
    <r>
      <rPr>
        <b/>
        <sz val="10.5"/>
        <rFont val="Times New Roman"/>
        <family val="1"/>
      </rPr>
      <t>, G450Mpa (chưa tính công lắp đặt Tôn)</t>
    </r>
  </si>
  <si>
    <t>C &amp; Z 10012 (dày 1,2mm), trọng lượng 2,10kg/m</t>
  </si>
  <si>
    <t>C &amp; Z 10015 (dày 1,5mm), trọng lượng 2,58kg/m</t>
  </si>
  <si>
    <t>C &amp; Z 10019 (dày 1,9mm), trọng lượng 3,25kg/m</t>
  </si>
  <si>
    <t>C &amp; Z 15012 (dày 1,2mm), trọng lượng 2,89kg/m</t>
  </si>
  <si>
    <t>C &amp; Z 15015 (dày 1,5mm), trọng lượng 3,54kg/m</t>
  </si>
  <si>
    <t>C &amp; Z 15019 (dày 1,9mm), trọng lượng 4,46kg/m</t>
  </si>
  <si>
    <t>C &amp; Z 20015 (dày 1,5mm), trọng lượng 4,44kg/m</t>
  </si>
  <si>
    <t>C &amp; Z 20019 (dày 1,9mm), trọng lượng 5,68kg/m</t>
  </si>
  <si>
    <t>C &amp; Z 20024 (dày 2,4mm), trọng lượng 7,15kg/m</t>
  </si>
  <si>
    <t>C &amp; Z 25019 (dày 1,9mm), trọng lượng 6,35kg/m</t>
  </si>
  <si>
    <t>C &amp; Z 25024 (dày 2,4mm), trọng lượng 8,0kg/m</t>
  </si>
  <si>
    <t>C &amp; Z 30024 (dày 2,4mm), trọng lượng 9,84kg/m</t>
  </si>
  <si>
    <t>C &amp; Z 40024 (dày 2,4mm), trọng lượng 9,84kg/m</t>
  </si>
  <si>
    <t xml:space="preserve">Thanh giằng xà gồ 51 x 28 x 1,5mm (chưa tính bulông) </t>
  </si>
  <si>
    <t xml:space="preserve">Bu lông cho xà gồ M12 - G4.6 </t>
  </si>
  <si>
    <t>đ/bộ</t>
  </si>
  <si>
    <t>IX</t>
  </si>
  <si>
    <t xml:space="preserve">TOLE CÁC LOẠI </t>
  </si>
  <si>
    <t>* Cty NS TNHH BLUESCOPE LYSAGHT VIỆT NAM. Theo bảng giá từ ngày 01 đến ngày 31/3/2016</t>
  </si>
  <si>
    <t xml:space="preserve">   Tole LYSAGHT TRIMDEK OPTIMA - rộng 1015mm: </t>
  </si>
  <si>
    <t>Lysaght Trimdek 0.45mmTCTx1015mm-Zincalume-G550AZ150</t>
  </si>
  <si>
    <r>
      <t>đ/m</t>
    </r>
    <r>
      <rPr>
        <vertAlign val="superscript"/>
        <sz val="10.5"/>
        <rFont val="Times New Roman"/>
        <family val="1"/>
      </rPr>
      <t>2</t>
    </r>
  </si>
  <si>
    <t>Lysaght Trimdek dày 0,43mmAPTx1015mmCOLORBONDXRW-G550AZ150</t>
  </si>
  <si>
    <t>Lysaght Trimdek dày 0,48mmAPTx1015mm-COLORBONDXRW-G550AZ150</t>
  </si>
  <si>
    <t xml:space="preserve">   Tole  LYSAGHT KLIP-LOK: </t>
  </si>
  <si>
    <t>Tôn lạnh Lysaght Klip-Lok 406mm, 3 sóng- chiều cao sóng 41mm, thép Zincalume AZ150, dày 0,45mm, liên kết bằng đai KL65</t>
  </si>
  <si>
    <t>Tôn lạnh màu Lysaght Klip-Lok 406mm, 3 sóng- chiều cao sóng 41mm, thép Clean ColorbondXRW AZ150, dày 0,48mm, liên kết bằng đai KL65</t>
  </si>
  <si>
    <r>
      <t xml:space="preserve"> - Phụ kiện của tole Lysaght Klip-Lok</t>
    </r>
    <r>
      <rPr>
        <b/>
        <vertAlign val="superscript"/>
        <sz val="10.5"/>
        <rFont val="Times New Roman"/>
        <family val="1"/>
      </rPr>
      <t>R</t>
    </r>
    <r>
      <rPr>
        <b/>
        <sz val="10.5"/>
        <rFont val="Times New Roman"/>
        <family val="1"/>
      </rPr>
      <t xml:space="preserve"> :</t>
    </r>
  </si>
  <si>
    <t>Đai kẹp mạ kẽm KL65</t>
  </si>
  <si>
    <t>Vít gắn đai Klip-Lok vào xà thép &lt; 5mm</t>
  </si>
  <si>
    <t xml:space="preserve"> * Tôn Đông Á: Công ty CP Tôn Đông Á (Địa chỉ: số 5, Đường số 5, KCN SÓng Thần 1, P. Dĩ AN, tỉnh Bình Dương) giá bán tại nhà máy KCN Đồng An II, chưa tính phí vận chuyển. Theo bảng giá ngày 01/10/2015</t>
  </si>
  <si>
    <t xml:space="preserve">Tôn Đông Á mạ lạnh 0,400 x 1200 x cuộn </t>
  </si>
  <si>
    <t xml:space="preserve">Tôn Đông Á mạ lạnh 0,450 x 1200 x cuộn </t>
  </si>
  <si>
    <t xml:space="preserve">Tôn Đông Á mạ lạnh 0,500 x 1200 x cuộn </t>
  </si>
  <si>
    <t xml:space="preserve">Tôn Đông Á mạ lạnh 0,600 x 1200 x cuộn </t>
  </si>
  <si>
    <t xml:space="preserve">Tôn Đông Á mạ lạnh phủ sơn 0,400 x 1200 x cuộn </t>
  </si>
  <si>
    <t xml:space="preserve">Tôn Đông Á mạ lạnh phủ sơn 0,450 x 1200 x cuộn </t>
  </si>
  <si>
    <t xml:space="preserve">Tôn Đông Á mạ lạnh phủ sơn 0,500 x 1200 x cuộn </t>
  </si>
  <si>
    <t xml:space="preserve">Tôn Đông Á mạ lạnh phủ sơn 0,600 x 1200 x cuộn </t>
  </si>
  <si>
    <t>X</t>
  </si>
  <si>
    <t>TẤM TRẦN CÁC LOẠI</t>
  </si>
  <si>
    <t xml:space="preserve"> * Hệ giàn thép SMARTRUSS : Cty NS TNHH BLUESCOPE LYSAGHT VIỆT NAM. Theo bảng giá từ ngày 01 đến ngày 30/5/2016 </t>
  </si>
  <si>
    <t>Hệ giàn thép Smartruss-Bluscope lysaght cho mái ngói</t>
  </si>
  <si>
    <t>- Vật tư hệ vì kèo thép 2 lớp (bảo hành 20 năm) chưa tính công lắp đặt ngói</t>
  </si>
  <si>
    <t>Hệ giàn thép Smartruss-Bluscope lysaght cho mái đổ bêtông</t>
  </si>
  <si>
    <t>- Vật tư hệ vì kèo thép mái bêtông (bảo hành 20 năm), chưa tính công lắp đặt ngói</t>
  </si>
  <si>
    <t>Hệ giàn thép Smartruss-Bluscope lysaght cho mái lợp tôn, chưa tính công lắp đặt tôn</t>
  </si>
  <si>
    <t>Tấm trần Ceidek, dày 0,43mmAPT, rộng 150mm - Colorbond 
(Thép Colorbond, AZ150; G550; Khổ rộng 150mm)</t>
  </si>
  <si>
    <t>- Khung treo trần Ceidek -C43x27-0.05mmTCT (Zincalume) - dài 3 mét/cây</t>
  </si>
  <si>
    <t>- Dây treo trần đk 4mm - dài 3m/cây</t>
  </si>
  <si>
    <t>- Tăng đơ cho dây treo đk 4mm</t>
  </si>
  <si>
    <t>cái</t>
  </si>
  <si>
    <t xml:space="preserve"> * Trần &amp; Vách ngăn thạch cao : Cty TNHH Xây dựng-Thương mại-Dịch vụ Lê Trần, địa chỉ: 25 Trần Bình Trọng, P.1, Q.5, Tp.HCM. Chưa bao gồm phí lắp đặt. Theo bảng giá ngày 01 đến 31/5/2016</t>
  </si>
  <si>
    <t>Trần khung nổi LÊ TRẦN CeilTEK Ultra, tấm thạch cao tiêu chuẩn 605x605x9,5mm
- Thanh chính LÊ TRẦN CeilTEK Ultra (3660x24x38mm)
- Thanh phụ dài LÊ TRẦN CeilTEK Ultra (1220x24x25mm)
- Thanh phụ ngắn LÊ TRẦN CeilTEK Ultra (610x24x25mm)
- Thanh góc LÊ TRẦN CeilTEK Ultra (3660x21x21mm)</t>
  </si>
  <si>
    <t>Trần khung nổi LÊ TRẦN CeilTEK Pro, tấm thạch cao tiêu chuẩn 605x605x9,5mm
- Thanh chính LÊ TRẦN CeilTEK Pro (3660x24x38mm)
- Thanh phụ dài LÊ TRẦN CeilTEK Pro (1220x24x25mm)
- Thanh phụ ngắn LÊ TRẦN CeilTEK Pro (610x24x25mm)
- Thanh góc LÊ TRẦN CeilTEK Pro (3660x21x21mm)</t>
  </si>
  <si>
    <t>Trần khung chìm LÊ TRẦN MacroTEK S400 mạ nhôm kẽm, tấm thạch cao tiêu chuẩn 9,5mm
- Thanh chính LÊ TRẦN MacroTEK S400_(4000x35x14x0,4mm) @ 800mm
- Thanh phụ LÊ TRẦN MacroTEK S400_(4000x35x14x0,4mm) @ 406mm
- Thanh góc LÊ TRẦN MacroTEK W300_(21x21x4000x0,32mm)</t>
  </si>
  <si>
    <t>Trần khung chìm LÊ TRẦN ChannelTEK Pro, tấm thạch cao tiêu chuẩn 9,5mm
- Thanh chính LÊ TRẦN ChannelTEK Pro_Thanh xương cá (3660x20x30x0,6mm)@1000mm
- Thanh phụ LÊ TRẦN MacroTEK S450(4000x35x14x0,41mm)@407mm
- Thanh góc LÊ TRẦN MacroTEK W300(4000x21x21x0,32mm)</t>
  </si>
  <si>
    <t>Hệ vách ngăn khung LÊ TRẦN WallTEK Pro dày 0,6mm mạ nhôm kẽm
- Thanh đứng LÊ TRẦN WallTEK_S64 lắp đặt khoảng cách 610mm liên kết với thanh ngang WallTEK_T66.
- Lắp một lớp tấm thạch cao tiêu chuẩn 12,5mm mỗi bên. Mặt trong vách được lắp bông sợi khoáng 50mm x 40kg/m3.
- Xử lý mối nối bằng bột trét Easy Joint 90 và băng keo lưới Lê Trần (không bao gồm sơn nước hoàn thiện)</t>
  </si>
  <si>
    <t xml:space="preserve"> * Trần &amp; Vách ngăn thạch cao : Cty TNHH USG Boral Gypsum VN (Lô B3a, Nguyễn Văn Tạo, KCN Hiệp Phước, Huyện Nhà Bè, Tp.HCM). Chưa bao gồm phí lắp đặt. Theo bảng giá ngày 04/12/2014</t>
  </si>
  <si>
    <t>* Hệ trần nổi</t>
  </si>
  <si>
    <t xml:space="preserve"> Trần nổi BORAL, kích thước 605 x 605mm)
      - Khung trần nổi Borak Firelock TEE
      - Tấm trang trí Boral Plankton dày 9mm</t>
  </si>
  <si>
    <t>* Hệ trần chìm - Thanh C đồng dạng</t>
  </si>
  <si>
    <t xml:space="preserve">  Trần chìm tiêu chuẩn BORAL, khung PTCEIL
      - Khung Boral PTCEIL mạ kẽm dày 0,32mm
      - Tấm trang trí Boral dày 9mm</t>
  </si>
  <si>
    <t>* Hệ Khung vách</t>
  </si>
  <si>
    <t xml:space="preserve">  Vách ngăn BORAL 2 mặt, tấm tiêu chuẩn, hệ khung SupraWall
      - Khung vách Boral SuparWall 76, khoảng cách 610mm
      - Tấm thạch cao tiêu chuẩn Boral StandardCore dày 12,5mm</t>
  </si>
  <si>
    <t>* Tấm Thạch cao tiêu chuẩn, Kỹ thuật và Trang trí</t>
  </si>
  <si>
    <t>Tấm thạch cao tiêu chuẩn TE  (1220 x 2440 x 9mm)</t>
  </si>
  <si>
    <t>đ/tấm</t>
  </si>
  <si>
    <t>Tấm thạch cao tiêu chuẩn TE  (1220 x 2440 x 12,5mm)</t>
  </si>
  <si>
    <t>Tấm thạch cao chống ẩm TE  (1220 x 2440 x 9mm)</t>
  </si>
  <si>
    <t>Tấm thạch cao chống cháy TE  (1220 x 2440 x 12,5mm)</t>
  </si>
  <si>
    <t>Tấm thạch cao trang trí _ Diamond  (1210 x 605 x 9mm)</t>
  </si>
  <si>
    <t>* Cty CP CN Vĩnh Tường (Lô C23, khu công nghiệp Hiệp Phước, Nhà Bè, Tp.HCM), giá không bao gồm phí vận chuyển và nhân công lắp đặt. Theo bảng giá ngày 03/11/2015</t>
  </si>
  <si>
    <t>Trần nổi Vĩnh Tường TopLine 610x610, Tấm thạch cao trang trí Vĩnh Tường (Tấm thạch cao chống ẩm Gyproc 9mm phủ PVC)
Hệ khung Vĩnh Tường TopLine:
  - Thanh chính: VT-TopLine 3660 (24x38x3660)
  - Thanh phụ: VT-TopLine 1220 (24x28x1220)
  - Thanh phụ: VT-TopLine 610 (24x28x610)
  - Thanh viền tường: VT20/22 (20x21x3600) 
 Ty phi 4mm, phụ kiện
Tấm thạch cao trang trí Vĩnh Tường (Tấm thạch cao chống ẩm Gyproc 9mm phủ PVC)</t>
  </si>
  <si>
    <t>Trần nổi Vĩnh Tường TopLine, Tấm Duraflex trang trí Vĩnh Tường  
Hệ khung Vĩnh Tường TopLine:
  - Thanh chính: VT-TopLine 3660 (24x38x3600)
  - Thanh phụ: VT-TopLine 1220 (24x28x1220)
  - Thanh phụ: VT-TopLine 610 (24x28x610)
  - Thanh viền tường: VT20/21 (20x21x3600) 
 Ty dây 4mm, phụ kiện
Tấm Duraflex trang trí Vĩnh Tường (Tấm Duraflex dày 3.5mm in hoa văn nổi)</t>
  </si>
  <si>
    <t>Trần chìm phẳng Vĩnh Tường Basic (01 lớp tấm thạch cao tiêu chuẩn Gyproc 9mm)  
Hệ khung Vĩnh Tường Basic
  - Thanh chính: VTC-Basi 3050 (27x23x3660)
  - Thanh phụ: VTC-Alpha 4000 (14x35x4000)
  - Thanh viền tường: VTC20/22 (20x21x3600) 
 Ty ren 6mm, phụ kiện
01 lớp tấm thạch cao tiêu chuẩn Gyproc 9.0x1220x2440mm</t>
  </si>
  <si>
    <t>Trần chìm phẳng Vĩnh Tường ALPHA (01 lớp tấm thạch cao Gyproc 9mm chống ẩm)  
Hệ khung Vĩnh Tường Alpha
  - Thanh chính: VTC-Alpha 4000 (14x35x4000)
  - Thanh phụ: VTC-Alpha 4000 (14x35x4000)
  - Thanh viền tường: VTC20/22 (20x21x3600) 
 Ty dây 4mm, phụ kiện
Tấm thạch cao Gyproc 9mm chống ẩm 01 lớp</t>
  </si>
  <si>
    <t>Vách ngăn Chống cháy 60 phút - Vĩnh Tường V-WALL (Tấm thạch cao Gyproc chống cháy 15.8mm mỗi mặt 01 lớp)
Hệ khung Vĩnh Tường V-WALL 51/52
  - Thanh chính: VT V Wall C51  (35x51x3000) dày 0.5mm
  - Thanh phụ: VT V Wall U52  (32x52x2700)
 Phụ kiện
Tấm thạch cao Gyproc chống cháy 15.8mm mỗi mặt 01 lớp</t>
  </si>
  <si>
    <t>XI</t>
  </si>
  <si>
    <t>GẠCH, NGÓI CÁC LOẠI:</t>
  </si>
  <si>
    <t>Gạch lát vỉa hè:</t>
  </si>
  <si>
    <t>* Gạch Terrazzo - Lát vĩa hè TCVN 7744:2007 : Cty CP Địa ốc An Giang SX (giao trên phương tiên của bên mua tại Nhà máy cấu kiện bê tông An Giang, xã Vĩnh Thạnh Trung, Châu Phú). Theo bảng giá ngày 01/3/2016</t>
  </si>
  <si>
    <t>Quy cách (400 x 400)mm, dày 30mm (+/-1.3) màu đỏ, vàng, tím, xanh lá cây, xám điểm hồng, xám xanh</t>
  </si>
  <si>
    <t>Quy cách (400 x 400)mm, dày 30mm (+/-1.3) màu xám, xám tro</t>
  </si>
  <si>
    <t>Gạch địa phương :</t>
  </si>
  <si>
    <t xml:space="preserve"> * Cơ sở gạch huyện Châu Thành (cách cầu Chắc Cà Đao 2 km, giá bán tại lò)</t>
  </si>
  <si>
    <t>Gạch ống loại 1 (7,5 x 7,5 x 17,5)</t>
  </si>
  <si>
    <t>đ/viên</t>
  </si>
  <si>
    <t>Gạch ống loại 2 (7,5 x 7,5 x 17,5)</t>
  </si>
  <si>
    <t>Gạch thẻ loại 1 (3,5 x 7,5 x 17,5)</t>
  </si>
  <si>
    <t>Gạch thẻ loại 2 (3,5 x 7,5 x 17,5)</t>
  </si>
  <si>
    <t xml:space="preserve"> * Cơ sở gạch huyện Châu Phú (cách thị trấn Cái Dầu 2,5 km)</t>
  </si>
  <si>
    <t xml:space="preserve"> * Cơ sở gạch huyện Chợ Mới (cách thị trấn Chợ Mới 5 km)</t>
  </si>
  <si>
    <t xml:space="preserve"> * Cơ sở gạch huyện Phú Tân (cách thị trấn Phú Tân 3 km)</t>
  </si>
  <si>
    <t xml:space="preserve"> *Giá bán tại nhà máy gạch ngói Tuynel Long Xuyên (giá xuất xưởng): Công ty TNHH MTV Xây Lắp An Giang. Theo bảng giá ngày 15/3/2016</t>
  </si>
  <si>
    <t xml:space="preserve"> Gạch ống 9 x 19</t>
  </si>
  <si>
    <t xml:space="preserve"> Gạch thẻ 9 x 19</t>
  </si>
  <si>
    <t xml:space="preserve"> Gạch cẩn (hóa chất)</t>
  </si>
  <si>
    <t xml:space="preserve"> Gạch trang trí (Hauydi)</t>
  </si>
  <si>
    <r>
      <t xml:space="preserve"> Ngói lợp 22 viên/m</t>
    </r>
    <r>
      <rPr>
        <vertAlign val="superscript"/>
        <sz val="10.5"/>
        <rFont val="Times New Roman"/>
        <family val="1"/>
      </rPr>
      <t>2</t>
    </r>
    <r>
      <rPr>
        <sz val="10.5"/>
        <rFont val="Times New Roman"/>
        <family val="1"/>
      </rPr>
      <t xml:space="preserve"> (hóa chất)</t>
    </r>
  </si>
  <si>
    <r>
      <t xml:space="preserve"> Ngói vẫy cá 65 viên/m</t>
    </r>
    <r>
      <rPr>
        <vertAlign val="superscript"/>
        <sz val="10.5"/>
        <rFont val="Times New Roman"/>
        <family val="1"/>
      </rPr>
      <t xml:space="preserve">2 </t>
    </r>
    <r>
      <rPr>
        <sz val="10.5"/>
        <rFont val="Times New Roman"/>
        <family val="1"/>
      </rPr>
      <t>(hóa chất)</t>
    </r>
  </si>
  <si>
    <t xml:space="preserve"> Ngói âm (hoá chất)</t>
  </si>
  <si>
    <t xml:space="preserve"> Ngói dương (hoá chất)</t>
  </si>
  <si>
    <t xml:space="preserve"> Ngói diềm âm (hóa chất)</t>
  </si>
  <si>
    <t xml:space="preserve"> Ngói diềm dương (hóa chất)</t>
  </si>
  <si>
    <t xml:space="preserve"> Ngói mũi hài (hoá chất)</t>
  </si>
  <si>
    <t xml:space="preserve"> Ngói vẫy rồng (hoá chất)</t>
  </si>
  <si>
    <t xml:space="preserve"> Ngói sắp nóc (hoá chất)</t>
  </si>
  <si>
    <t xml:space="preserve"> Ngói sắp nóc nhỏ (hoá chất)</t>
  </si>
  <si>
    <t xml:space="preserve"> * Giá bán tại nhà máy gạch ngói Tuynel Long Xuyên 2 - huyện An Phú (giá xuất xưởng): Công ty TNHH MTV Xây Lắp An Giang. Theo bảng giá ngày 15/3/2016</t>
  </si>
  <si>
    <t>Ngói lợp 22</t>
  </si>
  <si>
    <t>Ngói vẫy cá</t>
  </si>
  <si>
    <t>Ngói mũi hài</t>
  </si>
  <si>
    <t>Gạch Hauydi</t>
  </si>
  <si>
    <t xml:space="preserve"> * Giá bán gạch Tuynel tại nhà máy gạch Tri Tôn An Giang (giá xuất xưởng): Công ty TNHH MTV Xây Lắp An Giang. Theo bảng giá ngày 15/3/2016</t>
  </si>
  <si>
    <t>Gạch ống 8 x 18</t>
  </si>
  <si>
    <t>Gạch thẻ 8 x 18</t>
  </si>
  <si>
    <t xml:space="preserve"> * Giá bán gạch Tuynel tại Nhà máy gạch Tịnh Biên, An Giang (giá xuất xưởng, chưa tính phí vận chuyển bốc xếp): Công ty TNHH MTV Thương mại và Xây dựng Tài Nhân. Theo bảng giá ngày 25/02/2016</t>
  </si>
  <si>
    <t>Gạch ống 8 x 8 x 18</t>
  </si>
  <si>
    <t>Gạch thẻ 4 x 8 x18</t>
  </si>
  <si>
    <t>Ngói màu :</t>
  </si>
  <si>
    <t xml:space="preserve"> * Ngói màu Đồng Tâm (Phân phối tại Cty TNHH Thương Mại Hiển Nga, địa chỉ: 18/2E Trần Hưng Đạo, P.Mỹ Quý, Tp.LX), giao hàng tại kho chi nhánh Cần Thơ. Theo bảng giá từ ngày 01/10/2015 đến 31/12/2015</t>
  </si>
  <si>
    <t>Ngói lợp chính</t>
  </si>
  <si>
    <t>- Nhóm màu ấm áp: 606, 905, 906, 907</t>
  </si>
  <si>
    <t>- Nhóm màu hiện đại: 605, 607, 608</t>
  </si>
  <si>
    <t>- Nhóm màu tươi mát: 206, 207, 506, 706, 707</t>
  </si>
  <si>
    <t>Ngói nóc</t>
  </si>
  <si>
    <t>Ngói rìa</t>
  </si>
  <si>
    <t xml:space="preserve"> * Cty TNHH CN LAMA VN (Đại lý Tín Đạt, số 933/86 đường Phạm Cự Lượng, Tp. LX, AG),  bao gồm phí giao hàng đến công trình tại An Giang, không bao gồm chi phí dỡ hàng xuống. Theo bảng giá ngày 06/01/2016</t>
  </si>
  <si>
    <t>Ngói LAMA ROMAN</t>
  </si>
  <si>
    <t>Ngói chính</t>
  </si>
  <si>
    <t>- Nhóm một màu: L101, L102, L103, L104</t>
  </si>
  <si>
    <t>- Nhóm hai màu: L201, L203, L204 và Nhóm màu đặc biệt: L105, L226</t>
  </si>
  <si>
    <t>Ngói cuối rìa</t>
  </si>
  <si>
    <t>Ngói cuối nóc</t>
  </si>
  <si>
    <t>Ngói cuối mái</t>
  </si>
  <si>
    <t>Thiết bị thông gió năng lượng mặt trời ZEPHER (bao gồm phí vận chuyển và lắp đặt tại khu vực An Giang)</t>
  </si>
  <si>
    <t>Zepher 30  (30 watt)</t>
  </si>
  <si>
    <t>Zepher 50  (50 watt)</t>
  </si>
  <si>
    <t>Zepher 30 + Phụ kiện lắp đặt Zepher dùng với mái ngói Lama Roma</t>
  </si>
  <si>
    <t>Zepher 50 + Phụ kiện lắp đặt Zepher dùng với mái vói Lama Roman</t>
  </si>
  <si>
    <t>Gạch Ceramic :</t>
  </si>
  <si>
    <t xml:space="preserve"> * Gạch GRANITE VIGLACERA (Cty TNHH Thương Mại Hiển Nga). Theo bảng giá ngày 01/10/2015</t>
  </si>
  <si>
    <t>Gạch granite công nghệ cao, siêu bóng Nano 80 x 80 (KN, BN, VN). 
Mã số: 812, 815, 817, 821</t>
  </si>
  <si>
    <t>Gạch granite công nghệ cao, siêu bóng Nano 60 x 60 (KN, BN, VN).
Mã số: 612, 615, 617, 630, 671</t>
  </si>
  <si>
    <t>Gạch men ốp tường, lát nền</t>
  </si>
  <si>
    <t>- 30 x 60</t>
  </si>
  <si>
    <t>- 30 x 45</t>
  </si>
  <si>
    <t>- 30 x 30</t>
  </si>
  <si>
    <t>Ngói tráng men R01, R03</t>
  </si>
  <si>
    <t>Ngói úp nóc, ngói rìa</t>
  </si>
  <si>
    <t>Ngói cuối nóc, ngói cuối rìa</t>
  </si>
  <si>
    <t xml:space="preserve"> * Gạch REX  (loại I) : Cty TNHH Thương Mại Hiển Nga. Theo bảng giá ngày 01/10/2015</t>
  </si>
  <si>
    <r>
      <t>Gạch thạch anh (granite lát nền) 40cm x 40cm, chống trợt (6viên/thùng/0,99m</t>
    </r>
    <r>
      <rPr>
        <vertAlign val="superscript"/>
        <sz val="10.5"/>
        <rFont val="Times New Roman"/>
        <family val="1"/>
      </rPr>
      <t>2</t>
    </r>
    <r>
      <rPr>
        <sz val="10.5"/>
        <rFont val="Times New Roman"/>
        <family val="1"/>
      </rPr>
      <t>).
Mã số: HM 40104, 40204 (muối tiêu)</t>
    </r>
  </si>
  <si>
    <r>
      <t>Gạch thạch anh (granite lát nền) 40cm x 40cm, bóng mờ (6viên/thùng/0,99m</t>
    </r>
    <r>
      <rPr>
        <vertAlign val="superscript"/>
        <sz val="10.5"/>
        <rFont val="Times New Roman"/>
        <family val="1"/>
      </rPr>
      <t>2</t>
    </r>
    <r>
      <rPr>
        <sz val="10.5"/>
        <rFont val="Times New Roman"/>
        <family val="1"/>
      </rPr>
      <t>).
Mã số: HG 40304, 40307 (muối tiêu, kem)</t>
    </r>
  </si>
  <si>
    <r>
      <t>Gạch thạch anh (granite lát nền) 50cm x 50cm, bóng mờ (4viên/thùng/0,99m</t>
    </r>
    <r>
      <rPr>
        <vertAlign val="superscript"/>
        <sz val="10.5"/>
        <rFont val="Times New Roman"/>
        <family val="1"/>
      </rPr>
      <t>2</t>
    </r>
    <r>
      <rPr>
        <sz val="10.5"/>
        <rFont val="Times New Roman"/>
        <family val="1"/>
      </rPr>
      <t>).
Mã số: HG 50304, 50307 (muối tiêu, kem)</t>
    </r>
  </si>
  <si>
    <t xml:space="preserve"> * Gạch TOCERA : Cty TNHH Thương Mại Hiển Nga. Theo bảng giá ngày 01/10/2015</t>
  </si>
  <si>
    <t>Gạch men in kỹ thuật số, mài cạnh (loại 1: AA) kích thước:</t>
  </si>
  <si>
    <t>- 60x60, mã số P 67…</t>
  </si>
  <si>
    <t>- 50x50, mã số P 57…</t>
  </si>
  <si>
    <t>- 30x45, mã số PM 37 …</t>
  </si>
  <si>
    <t>- 30x30, mã số P 306 …</t>
  </si>
  <si>
    <t>* Giá gạch men cao cấp ACERA giao tại nhà máy gạch ACERA An Giang, TCVN 6415. Theo bảng giá ngày 18/5/2016</t>
  </si>
  <si>
    <r>
      <t>Gạch 40cmx40cm (1 thùng 6 viên tương đương 0,96m</t>
    </r>
    <r>
      <rPr>
        <vertAlign val="superscript"/>
        <sz val="10.5"/>
        <rFont val="Times New Roman"/>
        <family val="1"/>
      </rPr>
      <t>2</t>
    </r>
    <r>
      <rPr>
        <sz val="10.5"/>
        <rFont val="Times New Roman"/>
        <family val="1"/>
      </rPr>
      <t>) các mã số mới: 4000, 4063, 4069, 4080, 4086, 4087, 4089, 4094, 4095, 4096, 4097, 4098, 4099, 4101, 4107, 4108, 4110,…</t>
    </r>
  </si>
  <si>
    <t xml:space="preserve"> Loại A</t>
  </si>
  <si>
    <t>đ/thùng</t>
  </si>
  <si>
    <t xml:space="preserve"> Loại A A</t>
  </si>
  <si>
    <r>
      <t>Gạch 25cmx40cm (1 thùng 10 viên tương đương 1m</t>
    </r>
    <r>
      <rPr>
        <vertAlign val="superscript"/>
        <sz val="10.5"/>
        <rFont val="Times New Roman"/>
        <family val="1"/>
      </rPr>
      <t>2</t>
    </r>
    <r>
      <rPr>
        <sz val="10.5"/>
        <rFont val="Times New Roman"/>
        <family val="1"/>
      </rPr>
      <t>) men bóng</t>
    </r>
  </si>
  <si>
    <t>Gạch 30 x 45cm in kỹ thuật số - mài cạnh (07 viên/thùng/0,95m2)</t>
  </si>
  <si>
    <t>Gạch 30 x 45cm in kỹ thuật số - mài cạnh: đặc biệt (07 viên/thùng/0,95m2)</t>
  </si>
  <si>
    <t xml:space="preserve"> * Giá bán gạch TAICERA (loại I) : Công ty Cổ phần Công nghiệp Gốm Sứ TAICERA (bao gồm phí vận chuyển trong khu vực Tp.Long Xuyên). Theo bảng giá ngày 01/01/2016</t>
  </si>
  <si>
    <t>Gạch men 25cm x 25cm, loại I</t>
  </si>
  <si>
    <t>Gạch men 25cm x 40cm, loại I màu nhạt</t>
  </si>
  <si>
    <t>Gạch men 30cm x 45cm, loại I màu nhạt</t>
  </si>
  <si>
    <t>Gạch Thạch anh (Granite nhân tạo) 30cm x 30cm, 11 viên/thùng</t>
  </si>
  <si>
    <t xml:space="preserve"> - Màu nhạt</t>
  </si>
  <si>
    <t xml:space="preserve"> - Màu đậm</t>
  </si>
  <si>
    <t>Gạch Thạch anh (Granite nhân tạo) 40cm x 40cm,</t>
  </si>
  <si>
    <t>Gạch Thạch anh (Granite nhân tạo) 60cm x 60cm
 - Màu nhạt</t>
  </si>
  <si>
    <t>Gạch Thạch anh bóng kiếng 60cm x 60cm</t>
  </si>
  <si>
    <t>Gạch thạch anh bóng kiếng 80cm x 80cm</t>
  </si>
  <si>
    <t>Gạch Thạch anh bóng kiếng 100cm x 100cm</t>
  </si>
  <si>
    <t xml:space="preserve"> * Giá bán gạch TASA : Cty TNHH Thanh Long Long Xuyên (QL91, ấp Bình Phú 2, xã Hòa Bình, huyện Châu Thành) Theo bảng giá ngày 01/3/2016</t>
  </si>
  <si>
    <t>Gạch viền 7cm x 30cm. Loại 1. Mã số V50: 443, 244, 095, 344, 746, 316, 318, 320, 265,…</t>
  </si>
  <si>
    <t>Gạch viền 1cm x 30cm. Loại 1. Mã số TN: 6832,…</t>
  </si>
  <si>
    <r>
      <t>Gạch men 25cm x 40cm (10 viên/hộp/1m</t>
    </r>
    <r>
      <rPr>
        <vertAlign val="superscript"/>
        <sz val="10.5"/>
        <rFont val="Times New Roman"/>
        <family val="1"/>
      </rPr>
      <t>2</t>
    </r>
    <r>
      <rPr>
        <sz val="10.5"/>
        <rFont val="Times New Roman"/>
        <family val="1"/>
      </rPr>
      <t>). Loại 1. Mã số : 2403, 2404, 2405,…</t>
    </r>
  </si>
  <si>
    <t>đ/hộp</t>
  </si>
  <si>
    <r>
      <t>Gạch men 30cm x 30cm (11 viên/hộp/1m</t>
    </r>
    <r>
      <rPr>
        <vertAlign val="superscript"/>
        <sz val="10.5"/>
        <rFont val="Times New Roman"/>
        <family val="1"/>
      </rPr>
      <t>2</t>
    </r>
    <r>
      <rPr>
        <sz val="10.5"/>
        <rFont val="Times New Roman"/>
        <family val="1"/>
      </rPr>
      <t>). Loại 1. Mã số TASA: 3001, 3002, 3004, 3005,...</t>
    </r>
  </si>
  <si>
    <r>
      <t>Gạch men 40cm x 40cm (6 viên/hộp/0.96m</t>
    </r>
    <r>
      <rPr>
        <vertAlign val="superscript"/>
        <sz val="10.5"/>
        <rFont val="Times New Roman"/>
        <family val="1"/>
      </rPr>
      <t>2</t>
    </r>
    <r>
      <rPr>
        <sz val="10.5"/>
        <rFont val="Times New Roman"/>
        <family val="1"/>
      </rPr>
      <t>). Loại 1. Mã số TASA: 4402, 4403, 4406,…</t>
    </r>
  </si>
  <si>
    <t>Gạch men  50cm x 50cm (4 viên/hộp). Loại 1, Mã số TASA:  5001, 5002, 5004, 5008, 5010, 5011, 2015</t>
  </si>
  <si>
    <r>
      <t>Gạch men 60x60cm (4 viên/hộp/1,44m</t>
    </r>
    <r>
      <rPr>
        <vertAlign val="superscript"/>
        <sz val="10.5"/>
        <rFont val="Times New Roman"/>
        <family val="1"/>
      </rPr>
      <t>2</t>
    </r>
    <r>
      <rPr>
        <sz val="10.5"/>
        <rFont val="Times New Roman"/>
        <family val="1"/>
      </rPr>
      <t>). Loại 1. Mã số TASA: 6004, 6005, 6006, 6007, 6008, 6010</t>
    </r>
  </si>
  <si>
    <t xml:space="preserve"> * Gạch ceramic - CN Tp.HCM-Cty TNHH MTV TM Đồng Tâm (số 236A Nguyễn Văn Luông, P.11, Q.T6, Tp.HCM). Theo bảng giá từ ngày 01/10 đến 31/12/2015</t>
  </si>
  <si>
    <t>Gạch ceramic 25x40cm (10 viên/thùng), màu vân đá, xám, kem, trắng,…</t>
  </si>
  <si>
    <t>Gạch ceramic 30x30cm (11 viên/thùng), màu: xám, kem, trắng, vân đá,…</t>
  </si>
  <si>
    <t>Gạch ceramic 30x60cm (6 viên/thùng), màu: xám, kem, trắng, vân đá,…</t>
  </si>
  <si>
    <t>Gạch ceramic 40x40cm (6 viên/thùng), màu: xám, kem, nhạt, socola,…</t>
  </si>
  <si>
    <t>Gạch bóng kiếng 60x60cm (4 viên/thùng), màu: xám, kem, ghi</t>
  </si>
  <si>
    <t>Gạch xây không nung:</t>
  </si>
  <si>
    <t>* Cty CP Địa ốc An Giang SX (giao trên phương tiên của bên mua tại Nhà máy cấu kiện bê tông An Giang, xã Vĩnh Thạnh Trung, Châu Phú). Theo bảng giá ngày 01/3/2016</t>
  </si>
  <si>
    <t>Gạch  90 x 190 x 390mm</t>
  </si>
  <si>
    <t>Gạch  90 x 190 x 190mm</t>
  </si>
  <si>
    <t>Gạch  45 x 190 x 90mm</t>
  </si>
  <si>
    <t>Gạch 190 x 190 x 390mm</t>
  </si>
  <si>
    <t xml:space="preserve">Gạch 100 x 190 x 390mm </t>
  </si>
  <si>
    <t xml:space="preserve">Gạch 100 x 190 x 200mm </t>
  </si>
  <si>
    <t xml:space="preserve">Gạch 50 x 100 x 200mm </t>
  </si>
  <si>
    <t xml:space="preserve"> * Cty TNHH MTV Xây lắp An Giang, bao gồm chi phí bốc xếp lên phương tiện đường bộ hoặc đường thủy của bên mua tại nhà máy sản xuất. Theo bảng giá ngày 18/5/2016</t>
  </si>
  <si>
    <t>Gạch thẻ đặc ACC_80x40DA  (80 x 40 x 180mm)</t>
  </si>
  <si>
    <t>Gạch 2 lỗ ACC_80LA  (80 x 80 x 180mm)</t>
  </si>
  <si>
    <t>Gạch thẻ đặc ACC_90x45DA  (90 x 45 x 190mm)</t>
  </si>
  <si>
    <t>Gạch 3 lỗ ACC_90LA  (90 x 90 x 190mm)</t>
  </si>
  <si>
    <t>Gạch thẻ đặc ACC_100DA  (100 x 50 x 190mm)</t>
  </si>
  <si>
    <t>Gạch 3 lỗ ACC_100LA  (100 x 190 x 390mm)</t>
  </si>
  <si>
    <t>Gạch 3 lỗ ACC _190LA  (190 x 190 x 390mm)</t>
  </si>
  <si>
    <t xml:space="preserve"> * Cty TNHH MTV Hòa Phúc Nguyên (số 16G3 Hồ Biểu Chánh, B.Khánh - Tp.Long Xuyên), giá bán tại nơi sản xuất KCN Bình Hòa. Theo bảng giá ngày 16/02/2016</t>
  </si>
  <si>
    <t>Gạch 2 lổ (ống) : 390 x 190 x 190mm</t>
  </si>
  <si>
    <t>Gạch 3 lổ (ống) : 390 x 100 x 190mm</t>
  </si>
  <si>
    <t>Gạch thẻ (nhỏ)</t>
  </si>
  <si>
    <t xml:space="preserve"> * Cty TNHH MTV KHCN Bê tông nhẹ HIDICO (Tòa nhà số 12, Lý Thường Kiệt, P.1, Tp.Cao Lãnh, Đồng Tháp), đơn giá giao tại nhà máy KCN "C" Sa Đéc. Theo bảng giá ngày 23/10/2015</t>
  </si>
  <si>
    <t>Gạch blốc Bêtông bọt HIDICO-CLC(s). TCVN 9029:2011
 8x20x60cm, 10x20x60cm, 15x20x60cm</t>
  </si>
  <si>
    <t>Gạch blốc Bêtông bọt HIDICO-CLC(h). TCVN 9029:2011
 10x20x60cm, 20x20x60cm</t>
  </si>
  <si>
    <t>Vữa xây HIDICO-BTN (bao 50 kg)</t>
  </si>
  <si>
    <t xml:space="preserve"> * Cty CP Phân phối Vương Hải (155 Hai Bà Trưng, P.6, Q.3, Tp.HCM). Theo bảng giá ngày 09/01/2015</t>
  </si>
  <si>
    <t>Gạch block bê tông khí chưng áp (AAC block), TCVN 7959:2011, kích thước:</t>
  </si>
  <si>
    <t xml:space="preserve"> - 600 x 200 x 75,  cấp độ B3, cường độ nén &gt;= 3,5Mpa </t>
  </si>
  <si>
    <t xml:space="preserve"> - 600 x 200 x 100, cấp độ B3, cường độ nén &gt;= 3,5Mpa </t>
  </si>
  <si>
    <t xml:space="preserve"> - 600 x 200 x 150, cấp độ B3, cường độ nén &gt;= 3,5Mpa </t>
  </si>
  <si>
    <t xml:space="preserve"> - 600 x 200 x 200, cấp độ B3, cường độ nén &gt;= 3,5Mpa </t>
  </si>
  <si>
    <t xml:space="preserve"> - 600 x 200 x 75,  cấp độ B4, cường độ nén &gt;= 5Mpa </t>
  </si>
  <si>
    <t xml:space="preserve"> - 600 x 200 x 100, cấp độ B4, cường độ nén &gt;= 5Mpa </t>
  </si>
  <si>
    <t xml:space="preserve"> - 600 x 200 x 150, cấp độ B4, cường độ nén &gt;= 5Mpa </t>
  </si>
  <si>
    <t xml:space="preserve"> - 600 x 200 x 200, cấp độ B4, cường độ nén &gt;= 5Mpa </t>
  </si>
  <si>
    <t>Vữa xây chuyên dụng V-block, 50kg/bao</t>
  </si>
  <si>
    <t>Vữa trát chuyên dụng V-block. 50kg/bao</t>
  </si>
  <si>
    <t>Bột hoàn thiện gạch bê tông nhẹ, 25kg/bao</t>
  </si>
  <si>
    <t xml:space="preserve"> * Gạch bê tông nhẹ EBLOCK : Cty CP Gạch khối Tân Kỷ Nguyên (Khu công nghiệp Thịnh Phát, ấp 3, xã Lương Bình, huyện Bến Lức, Long An). Theo bảng giá ngày 16/02/2016</t>
  </si>
  <si>
    <t>Gạch bê tông nhẹ EBLOCK, Mac 3.0 Mpa, TCVN 7959:2011, kích thước:</t>
  </si>
  <si>
    <t xml:space="preserve"> - 600 x 200 x 85</t>
  </si>
  <si>
    <t xml:space="preserve"> - 600 x 200 x 100</t>
  </si>
  <si>
    <t xml:space="preserve"> - 600 x 200 x 150</t>
  </si>
  <si>
    <t xml:space="preserve"> - 600 x 200 x 200</t>
  </si>
  <si>
    <t>Gạch bê tông nhẹ EBLOCK, Mac 4.0 Mpa, TCVN 7959:2011, kích thước:</t>
  </si>
  <si>
    <t>Gạch bê tông nhẹ EBLOCK, Mac 5.0 Mpa, TCVN 7959:2011, kích thước:</t>
  </si>
  <si>
    <t>Vữa xây EBLOCK M7.5 Mpa  (25kg/bao)</t>
  </si>
  <si>
    <t>Vữa tô EBLOCK M 7.5 Mpa  (25kg/bao)</t>
  </si>
  <si>
    <t>Vữa tô Skim coat EBLOCK (tô dày 2-3mm/mặt), 25kg/bao</t>
  </si>
  <si>
    <t xml:space="preserve"> * Gạch block bêtông khí chưng áp AAC : Cty Cổ phần HASS (số 99, đường ĐT 747, khu phố Tân Lương, P. Thạnh Phước, Tx. Tân Uyên, Bình Dương). Theo bảng giá ngày 01/10/2015</t>
  </si>
  <si>
    <t>Gạch AAC, cường độ &gt;=3.5 Mpa, TCVN 7959:2011, kích thước:</t>
  </si>
  <si>
    <t>- Gạch 600 x 200 x 100  - 3.5 Mpa</t>
  </si>
  <si>
    <t>đ/ viên</t>
  </si>
  <si>
    <t>- Gạch 600 x 200 x 150  - 3.5 Mpa</t>
  </si>
  <si>
    <t>- Gạch 600 x 200 x 200  - 3.5 Mpa</t>
  </si>
  <si>
    <t>Vữa xây chuyên dụng</t>
  </si>
  <si>
    <t>Vữa tô chuyên dụng</t>
  </si>
  <si>
    <t>* Gạch ngói Đồng Nai: công ty TNHH MTV Thương mại TUILDONAI (số 119 Điện Biên Phủ - Quận 1, Tp HCM) . Theo bảng giá ngày 29/02/2016. Đơn giá giao tại nhà máy</t>
  </si>
  <si>
    <t>Gạch HOURDIS A1</t>
  </si>
  <si>
    <t>Gạch HOURDIS A2</t>
  </si>
  <si>
    <t>Gạch Chữ U (200x200x75) A1</t>
  </si>
  <si>
    <t>Gạch Chữ U (200x200x75) A2</t>
  </si>
  <si>
    <t>Gạch tàu 30 có chân (300x300x25)</t>
  </si>
  <si>
    <t>Ngói Vảy cá (không chống thấm) A1</t>
  </si>
  <si>
    <t>Ngói Vảy cá (không chống thấm) A2</t>
  </si>
  <si>
    <t>Ngói mũi hài 120 (chống thấm) A1</t>
  </si>
  <si>
    <t>Ngói mũi hài 120 (chống thấm) A2</t>
  </si>
  <si>
    <t>* Tấm lợp đa dụng Onduline và Ngói Pháp siêu nhẹ Onduvilla. Cty TNHH OFIC Việt Nam. Theo bảng giá ngày 14/4/2016.Giá sản phẩm gia tại địa bàn tỉnh An Giang</t>
  </si>
  <si>
    <t xml:space="preserve">Tấm lợp sinh thái Onduline® </t>
  </si>
  <si>
    <t>Ngói siêu nhẹ - Onduvilla®</t>
  </si>
  <si>
    <t>đ/m2</t>
  </si>
  <si>
    <t>Tấm úp nóc Onduline</t>
  </si>
  <si>
    <t>Tấm diền mái</t>
  </si>
  <si>
    <t>Đinh chuyên dụng</t>
  </si>
  <si>
    <t>đồng/cây</t>
  </si>
  <si>
    <t>Diềm Onduvilla</t>
  </si>
  <si>
    <t>Úp nóc Onduvilla</t>
  </si>
  <si>
    <t>Tấm chụp đầu hồi (ngói bò) Onduvilla</t>
  </si>
  <si>
    <t>Tấm nối phần tiếp giáp Onduvilla</t>
  </si>
  <si>
    <t>Băng dán chống thấm/Onduvilla</t>
  </si>
  <si>
    <t>Cuộn</t>
  </si>
  <si>
    <t>* Gạch đá bóng kiếng nhà máy PACERA Long Thành - Đồng Nai. Phân phối tại Mỹ Quý, TP Long Xuyên, tỉnh An Giang. Theo Bảng giá ngày 31/3/2016. Giao hàng tại Kho Mỹ Quý (Tp Long Xuyên)</t>
  </si>
  <si>
    <t>Gạch Thạch anh bóng kiếng MH 434</t>
  </si>
  <si>
    <t>- 30x45</t>
  </si>
  <si>
    <t>- 60x60</t>
  </si>
  <si>
    <t>- 80x80</t>
  </si>
  <si>
    <t>Gạch Thạch anh bóng kiếng MH 655</t>
  </si>
  <si>
    <t>Gạch Thạch anh bóng kiếng MH 708</t>
  </si>
  <si>
    <t>XII</t>
  </si>
  <si>
    <t>THIẾT BỊ VỆ SINH:</t>
  </si>
  <si>
    <t xml:space="preserve">       </t>
  </si>
  <si>
    <t>* Sứ TOTO - JAPAN (CTy TNHH Thuận Phát, số 327/5-327/1 Hùng Vương, Tp.LX). Theo bảng giá ngày 01/3/2015</t>
  </si>
  <si>
    <t>Bàn cầu 2 khối TOTO CS300DT3Y1</t>
  </si>
  <si>
    <t>Bàn cầu 2 khối TOTO CS300DRT2</t>
  </si>
  <si>
    <t>Bàn cầu 2 khối TOTO CS320DRT3</t>
  </si>
  <si>
    <t>Bàn cầu 2 khối TOTO CS945DNT3</t>
  </si>
  <si>
    <t>Chậu treo tường TOTO LT300C</t>
  </si>
  <si>
    <t>Chậu treo tường TOTO LT210CT</t>
  </si>
  <si>
    <t>Vòi Lavabo TOTO nóng lạnh TX108LHBR. (Bao gồm bộ xả, không gồm ống thải chữ P)</t>
  </si>
  <si>
    <t>Sen tắm nóng lạnh HELIO, bát sen mạ (TX432SHBR)</t>
  </si>
  <si>
    <t xml:space="preserve">Tiểu nam treo tường UT57 (bao gồm nối tường) </t>
  </si>
  <si>
    <t>Tiểu nam treo tường UT904 (bao gồm nối tường)</t>
  </si>
  <si>
    <t>* Sứ vệ sinh AMERICAN STANDARD (màu trắng): Cty TNHH TM Hiển Nga - Tổng đại lý phân phối tại An Giang. Theo bảng giá ngày 01/10/2015</t>
  </si>
  <si>
    <t>Bàn cầu hai khối CARAVELLE Plus, mã số VF-2321</t>
  </si>
  <si>
    <t>Bàn cầu hai khối SUPER CARAVELLE, mã số VF-2322</t>
  </si>
  <si>
    <t>Bàn cầu hai khối WINSTON Plus, mã số VF-2396</t>
  </si>
  <si>
    <t>Bàn cầu hai khối WINSTON, mã số VF-2395</t>
  </si>
  <si>
    <t>Lavabo đặt bàn Aqualyn 520mm, mã số VF-0476</t>
  </si>
  <si>
    <t>Lavabo đặt dưới bàn Ovalyn 535mm, mã số VF-0470</t>
  </si>
  <si>
    <t>Lavabo treo tường Casablanca 500mm, mã số VF-0969</t>
  </si>
  <si>
    <t>Lavabo treo tường Gala 465mm, mã số VF-0940</t>
  </si>
  <si>
    <t>Chân treo Lavabo Casablanca, mã số VF-0912</t>
  </si>
  <si>
    <t>Bồn tiểu nam Mini-Washbrook, mã số VF-6401</t>
  </si>
  <si>
    <t>Bồn tiểu nam Wall, mã số VF-0412</t>
  </si>
  <si>
    <t>Bồn tiểu nam Eco, mã số VF-0414</t>
  </si>
  <si>
    <t xml:space="preserve"> * Vòi, sen tắm FICO các loại : Cty TNHH TM Hiển Nga - Tổng đại lý phân phối tại An Giang. Theo bảng giá ngày 16/3/2015</t>
  </si>
  <si>
    <t>Vòi sen tắm nóng lạnh TD-2130S2 (bao gồm dây, gá, tay sen inox)</t>
  </si>
  <si>
    <t>Vòi sen tắm lạnh TD-263C T1.1 (bao gồm dây, gá, tay sen inox T1.1)</t>
  </si>
  <si>
    <t>Bộ xả tiểu nam TD-3142</t>
  </si>
  <si>
    <t>Vòi hồ TD-202C</t>
  </si>
  <si>
    <t>Vòi xịt TD-401</t>
  </si>
  <si>
    <t>Xiphon (Bộ xả lavabo) TD-306</t>
  </si>
  <si>
    <t>Bộ tay sen Inox T5</t>
  </si>
  <si>
    <t>Bộ tay sen nhựa T2</t>
  </si>
  <si>
    <t>Vòi Lavabo nóng lạnh TD-7111 (bao gồm dây cấp)</t>
  </si>
  <si>
    <t>Vòi Lavabo lạnh TD-705 (bao gồm dây cấp)</t>
  </si>
  <si>
    <t xml:space="preserve"> * Vòi sen VALTA : Cty TNHH TM Hiển Nga - Tổng đại lý phân phối tại An Giang. Theo bảng giá 01/10/2015</t>
  </si>
  <si>
    <t>Vòi sen tắm lạnh TD-263C T2 (bao gồm dây, gá, tay sen nhựa T2)</t>
  </si>
  <si>
    <t>Tiểu nam TD-3142</t>
  </si>
  <si>
    <t>Xiphong TD-306</t>
  </si>
  <si>
    <t>Bộ sen Inox T3</t>
  </si>
  <si>
    <t>Bộ sen nhựa T2</t>
  </si>
  <si>
    <t xml:space="preserve"> * Sứ vệ sinh Thiên Thanh - loại AA : Cty TNHH TM Hiển Nga - Tổng đại lý phân phối tại An Giang. Theo bảng giá 01/10/2015</t>
  </si>
  <si>
    <t>Bộ cầu 2 khối (màu trắng)</t>
  </si>
  <si>
    <t>Cầu trẻ em Era (nắp nhựa, phụ kiện gạt)</t>
  </si>
  <si>
    <t>Cầu Ruby (nắp nhựa, phụ kiện gạt)</t>
  </si>
  <si>
    <t>Cầu King (nắp nhựa, phụ kiện 2 nhấn)</t>
  </si>
  <si>
    <t>Bộ cầu 1 khối (màu trắng)</t>
  </si>
  <si>
    <t>Bộ cầu Gold-N, gồm nắp nhựa rơi êm, phụ kiện 2 nhấn, Cleanmax</t>
  </si>
  <si>
    <t>Thân cầu và thùng nước rời (màu trắng)</t>
  </si>
  <si>
    <t>Cầu thấp 04 (CT0400)</t>
  </si>
  <si>
    <t>Thùng treo 06 (thùng nước + phụ kiện, TT06PKHA)</t>
  </si>
  <si>
    <t>Chậu và chân chậu (màu trắng)</t>
  </si>
  <si>
    <t>Chậu tròn 04 - lỗ lớn</t>
  </si>
  <si>
    <t>Chậu tròn 35 - lỗ lớn</t>
  </si>
  <si>
    <t>Bồn tiểu (màu trắng)</t>
  </si>
  <si>
    <t>Bồn tiểu 01</t>
  </si>
  <si>
    <t>Bồn tiểu 15</t>
  </si>
  <si>
    <t>* Inax: Công ty TNHH LIXIL Việt Nam (Gia Lâm, Hà Nội). Theo bảng báo giá ngày 01/4/2016.Giá sản phẩm gia tại địa bàn tỉnh An Giang</t>
  </si>
  <si>
    <t>Bàn cầu hai khối C-117VA</t>
  </si>
  <si>
    <t>Bàn cầu hai khối C-306VT</t>
  </si>
  <si>
    <t>Bàn cầu hai khối C-504VTN</t>
  </si>
  <si>
    <t>Lavabo treo tường + âm bàn L-282V</t>
  </si>
  <si>
    <t>Lavabo treo tường + âm bàn L-284V</t>
  </si>
  <si>
    <t>Lavabo treo tường + âm bàn L-2395V</t>
  </si>
  <si>
    <t>Bồn tiểu U-116V</t>
  </si>
  <si>
    <t>Bồn tiểu U-117V</t>
  </si>
  <si>
    <t>Van xã tiểu UF-6V</t>
  </si>
  <si>
    <t>Vòi lạnh Lavabo 13B</t>
  </si>
  <si>
    <t>Vòi lạnh Lavabo 11B</t>
  </si>
  <si>
    <t>XIII</t>
  </si>
  <si>
    <t xml:space="preserve">VẢI ĐỊA KỸ THUẬT VÀ RỌ ĐÁ : </t>
  </si>
  <si>
    <t xml:space="preserve"> Vải địa kỹ thuật không dệt, sợi dài liên tục, 100% PP chính phẩm, ổn định hóa UV; nơi sản xuất : Malaysia</t>
  </si>
  <si>
    <t>Polyfelt TS 20 (4m x 250m)</t>
  </si>
  <si>
    <t>Polyfelt TS 30 (4m x 225m)</t>
  </si>
  <si>
    <t>Polyfelt TS 40 (4m x 200m)</t>
  </si>
  <si>
    <t>Polyfelt TS 50 (4m x 175m)</t>
  </si>
  <si>
    <t>Polyfelt TS 60 (4m x 135m)</t>
  </si>
  <si>
    <t>Polyfelt TS 65 (4m x 125m)</t>
  </si>
  <si>
    <t>Polyfelt TS 70 (4m x 100m)</t>
  </si>
  <si>
    <t>Polyfelt TS 80 (4m x 90m)</t>
  </si>
  <si>
    <t>Rọ đá bọc nhựa PVC: Thép mạ kẽm trung bình &gt;50g/m2 (TCVN 2053:1993)</t>
  </si>
  <si>
    <t xml:space="preserve">  - Rọ và thảm đá bọc nhựa PVC, loại P8 (8 x 10)cm: </t>
  </si>
  <si>
    <t>Dây đan 2,2 - 3,2mm; dây viền 2,7 - 3,7mm</t>
  </si>
  <si>
    <r>
      <t>đ/m</t>
    </r>
    <r>
      <rPr>
        <vertAlign val="superscript"/>
        <sz val="10.5"/>
        <rFont val="Times New Roman"/>
        <family val="1"/>
      </rPr>
      <t>2</t>
    </r>
    <r>
      <rPr>
        <sz val="10.5"/>
        <rFont val="Times New Roman"/>
        <family val="1"/>
      </rPr>
      <t>lưới</t>
    </r>
  </si>
  <si>
    <t>Dây đan 2,4 - 3mm; dây viền 2,7 - 3,7mm</t>
  </si>
  <si>
    <t>Dây đan 2,7 - 3,7mm; dây viền 3,4 - 4,4mm</t>
  </si>
  <si>
    <t xml:space="preserve">  - Rọ và thảm đá bọc nhựa PVC, loại P10 (10 x 12)cm: </t>
  </si>
  <si>
    <t>Dây đan 2,4 - 3,4mm; dây viền 2,7 - 3,7mm</t>
  </si>
  <si>
    <t>XIV</t>
  </si>
  <si>
    <t>BAO BÌ SINH THÁI (Giải pháp thiết lập kè chống xói lở, bảo vệ bờ) :</t>
  </si>
  <si>
    <t xml:space="preserve"> Cty TNHH PTKT &amp; VLXD Đại Viễn (số 18/6 Nguyễn Hiến Lê, P.13, Q. Tân Bình,Tp. HCM). Theo bảng giá ngày 30/10/2015</t>
  </si>
  <si>
    <t>Bao bì sinh thái, màu đen, bao gồm phụ kiện, kích thước: 120 x 40 x 20cm</t>
  </si>
  <si>
    <t>XV</t>
  </si>
  <si>
    <t>MÁY LẠNH CÁC LOẠI : không bao gồm vật tư và nhân công lắp đặt</t>
  </si>
  <si>
    <t>* Cty TNHH Cơ điện lạnh và Xây dựng An Phát (327/2 Hùng Vương P.Mỹ Long, Tp.Long Xuyên), không bao gồm vật tư và nhân công lắp đặt, giao hàng tại kho Cty An Phát. Theo bảng giá ngày 21/4/2016</t>
  </si>
  <si>
    <t xml:space="preserve"> - Máy lạnh hiệu Aikibi (loại treo tường cao cấp có ion âm - LUXURIOUS) tiết kiệm 30% điện năng</t>
  </si>
  <si>
    <t>Công suất: 1HP</t>
  </si>
  <si>
    <t>Công suất: 1,5HP</t>
  </si>
  <si>
    <t>Công suất: 2HP</t>
  </si>
  <si>
    <t>Công suất: 2,5HP</t>
  </si>
  <si>
    <t xml:space="preserve"> - Máy lạnh hiệu Toshiba (loại thường)</t>
  </si>
  <si>
    <t xml:space="preserve"> - Máy lạnh hiệu Panasonic (loại thường) </t>
  </si>
  <si>
    <t xml:space="preserve"> - Máy lạnh hiệu Mitsubishi Heavy (loại ion âm) </t>
  </si>
  <si>
    <t xml:space="preserve"> - Máy lạnh hiệu LG (loại thường)</t>
  </si>
  <si>
    <t xml:space="preserve"> - Máy lạnh hiệu Aikibi ( Loại tủ đứng - Đảo gió 4 hướng, màn hình cảm ứng) </t>
  </si>
  <si>
    <t>Công suất: 3.0HP (AFF28C/AFC28C-KAN5)</t>
  </si>
  <si>
    <t>Công suất: 5.5HP (AFF48C/AFC48C-AV01)</t>
  </si>
  <si>
    <t>Công suất: 7.0HP (AFF60C/AFC60C-AV01)</t>
  </si>
  <si>
    <t xml:space="preserve"> - Máy lạnh hiệu Aikibi ( Loại âm trần, mặt nạ nổi, thổi gió 8 hướng) </t>
  </si>
  <si>
    <t>Công suất: 2.0HP (ACF18C/ACC18C-TL08)</t>
  </si>
  <si>
    <t>Công suất: 3.0HP (ACF28C/ACC28C-TL08)</t>
  </si>
  <si>
    <t>Công suất: 4.5HP (ACF40C/ACC40C-TL08)</t>
  </si>
  <si>
    <t>Công suất: 5.5HP (ACF48C/ACC48C-TL08)</t>
  </si>
  <si>
    <t xml:space="preserve"> - Máy lạnh hiệu Aikibi ( Loại áp trần) </t>
  </si>
  <si>
    <t>Công suất: 5.5HP (AUF48C/AUC48C-BE01)</t>
  </si>
  <si>
    <t>Công suất: 7.0HP (AUF60C/AUC60C-BE01)</t>
  </si>
  <si>
    <t xml:space="preserve"> - Máy lạnh hiệu Aikibi ( Loại tủ đứng công nghiệp) </t>
  </si>
  <si>
    <t>Công suất: 11.0HP (AFF100C/AFC100C-CO01)</t>
  </si>
  <si>
    <t>XVI</t>
  </si>
  <si>
    <t>QUẠT ĐIỆN CÁC LOẠI :</t>
  </si>
  <si>
    <t>* Cty Cơ điện lạnh và Xây dựng An Phát (số 327/2 Hùng Vương, phường Mỹ Long, Tp. Long Xuyên, An Giang), giao hàng tại Cty. Theo bảng giá ngày 21/4/2016</t>
  </si>
  <si>
    <t>Quạt trần</t>
  </si>
  <si>
    <t>Quạt trần Panasonic, model: F-60MZ2 (quạt trần hợp số nổi)</t>
  </si>
  <si>
    <t>Quạt trần Hậu Phong, mã QC308 (không hộp số)</t>
  </si>
  <si>
    <t>Quạt hút gắn tường Nedfon</t>
  </si>
  <si>
    <t>Quạt hút gắn tường Nedfon, model: APB 15-3-B (Lưu lượng 260m3/h)</t>
  </si>
  <si>
    <t>Quạt hút gắn trần Nedfon</t>
  </si>
  <si>
    <t>Quạt hút gắn trần Nedfon, model: BPT 10-13-H20 (Lưu lượng 120m3/h)</t>
  </si>
  <si>
    <t xml:space="preserve">Quạt hút gắn tường Panasonic </t>
  </si>
  <si>
    <t>Quạt hút gắn tường Panasonic loại 01 chiều không không màn che, model: FV-20AU9 (Lưu lượng 580m3/h)</t>
  </si>
  <si>
    <t>XVII</t>
  </si>
  <si>
    <t>SƠN TƯỜNG, BỘT TRÉT TƯỜNG CÁC LOẠI :</t>
  </si>
  <si>
    <t xml:space="preserve">Sơn Bạch Tuyết màu trắng </t>
  </si>
  <si>
    <t xml:space="preserve">Sơn Bạch Tuyết màu xanh </t>
  </si>
  <si>
    <t>* Sơn BOSS&amp;SPRING các loại: Cty TNHH TM Hiển Nga - Tổng đại lý phân phối tại An Giang. Theo bảng giá ngày 01/10/2015</t>
  </si>
  <si>
    <t>Bột trét tường trong nhà SPRING (bao 40kg)</t>
  </si>
  <si>
    <t>Bột trét tường ngoài nhà SPRING (bao 40kg)</t>
  </si>
  <si>
    <t>Bột trét nội thất BOSS (bao 40kg)</t>
  </si>
  <si>
    <t>Bột trét nội và ngoại thất BOSS (bao 40kg)</t>
  </si>
  <si>
    <t>Sơn lót chống kiềm ngoại thất SPRING ALKALI (thùng 18 lít-23,3kg)</t>
  </si>
  <si>
    <t>Sơn lót chống kiềm nội thất BOSS ALKALI (thùng 18 lít-24,1kg)</t>
  </si>
  <si>
    <t>Sơn lót chống kiềm ngoại thất BOSS ALKALI (thùng 18 lít - 24.1kg)</t>
  </si>
  <si>
    <t>Sơn lót chuyên dụng BOSS SEALER NANO (lon 5 lít)</t>
  </si>
  <si>
    <t>đ/lon</t>
  </si>
  <si>
    <t>Chống thấm BOSS STOP ONE (lon 5 lít - 4,5kg)</t>
  </si>
  <si>
    <t>Chống thấm BOSS STOP ONE (thùng 18 lít - 20,5kg)</t>
  </si>
  <si>
    <t>Sơn nước trong nhà SPRING (thùng 18 lít - 26,3kg)</t>
  </si>
  <si>
    <t>Sơn nước nội thất MATT FINISH (thùng 18 lít -26,3kg)</t>
  </si>
  <si>
    <t>Sơn nước nội thất CLEAN MAX - lau chùi dễ dàng (thùng 18 lít - 26,6kg)</t>
  </si>
  <si>
    <t>Sơn nước ngoài nhà SPRING  - màu thường (thùng 18 lít - 24,6kg)</t>
  </si>
  <si>
    <t>Sơn nước ngoại thất SHELL SHINE-màu thường (thùng 18 lít-22kg)</t>
  </si>
  <si>
    <t>Sơn nước ngoại thất bóng FUTURE (NEW) (thùng 18 lít-24,6kg)</t>
  </si>
  <si>
    <t>Sơn phủ gốc dầu chống ố vàng SOLVENTMORE (lon 5 lít-6,13kg)</t>
  </si>
  <si>
    <t>Sơn nước ngoại thất bóng SUPER SHEEN (lon 5 lít-5,7kg)</t>
  </si>
  <si>
    <t xml:space="preserve"> * Sơn KAVIC: Nhà phân phối cấp 1 - Cty TNHH MTV Thanh Vũ (số 28, Nguyễn Tri Phương, Bình Khánh, Tp.LX), giao hàng đến chân công trình. Theo bảng giá ngày 13/5/2014</t>
  </si>
  <si>
    <t>Sơn lót chống kiềm nội thất Kavic (thùng/18 lít)</t>
  </si>
  <si>
    <t>Sơn lót chống kiềm ngoại thất Kavic (thùng/18 lít)</t>
  </si>
  <si>
    <t>Chống thấm đa năng Kavic K15A (thùng/18 lít)</t>
  </si>
  <si>
    <t>Bột trét láng mịn K5A (bao/25kg)</t>
  </si>
  <si>
    <t xml:space="preserve"> * Sơn JYMEC: Nhà phân phối cấp 1 - Cty TNHH MTV Thanh Vũ (số 28, Nguyễn Tri Phương, Bình Khánh, Tp.LX), giao hàng đến chân công trình. Theo bảng giá ngày 16/10/2015</t>
  </si>
  <si>
    <t>Bột bả JYMEC trong và ngoài cao cấp (màu trắng, bao/40kg)</t>
  </si>
  <si>
    <t>Sơn JYMEC lót chống kiềm trong nhà (thùng/18 lít)</t>
  </si>
  <si>
    <t>Sơn JYMEC lót chống kiềm ngoài trời cao cấp (thùng/18 lít)</t>
  </si>
  <si>
    <t>Sơn JYMEC sơn trong nhà kinh tế (thùng/18 lít)</t>
  </si>
  <si>
    <t>Sơn JYMEC mịn cao cấp ngoài trời (thùng/18 lít)</t>
  </si>
  <si>
    <t>Sơn JYMEC phủ bóng ngoài trời (lon/5 kg)</t>
  </si>
  <si>
    <t xml:space="preserve"> * Sơn NERO : Cty TNHH Sơn Nero (Lô MC2 KCN Đức Hòa 1 Hạnh Phúc, ấp 5, xã Đức Hòa Đông, H.Đức Hòa, Long An), bao gồm chi phí vận chuyển tới chân công trình tại tỉnh AG. Theo bảng giá ngày 15/12/2015</t>
  </si>
  <si>
    <t>Sơn Nero Plus nội thất - 50 màu thường (6,8kg)</t>
  </si>
  <si>
    <t>Sơn Nero Plus ngoại thất - 56 màu thường (6,3kg)</t>
  </si>
  <si>
    <t>Sơn Nero Super White (23,8kg)</t>
  </si>
  <si>
    <t>Sơn Nero Plus ngoại thất - Bóng mờ - Chống thấm cao (22,5kg)</t>
  </si>
  <si>
    <t>Sơn Nero Super Shield - Bóng siêu chống thấm (6,3kg)</t>
  </si>
  <si>
    <t>Sơn lót chống kiềm Modena Sealer ngoại thất - Màu trắng (20,9kg)</t>
  </si>
  <si>
    <t>Sơn lót chống kiềm cao cấp Nero Sealer - Màu trắng (21,2kg)</t>
  </si>
  <si>
    <t>Bột trét tường Nero Star nội thất (40kg)</t>
  </si>
  <si>
    <t xml:space="preserve"> * Sơn USA PAINT : Cty TNHH XD Kiên Phú Thịnh (đường Hoàng Diệu, P.Châu Phú B, Tp. Châu Đốc, AG). Giao hàng tại công ty, chưa bao gồm phí vận chuyển, bốc xếp. Theo bảng giá ngày 01/01/2016</t>
  </si>
  <si>
    <t>Bột trét nội thất Sun-Mascoat (bao 40kg)</t>
  </si>
  <si>
    <t>Bột trét nội - ngoại thất USA-Excel (In&amp;Ex) bao 40kg</t>
  </si>
  <si>
    <t>Sơn lót chống kiềm phủ trắng hiệu quả Sealer Co - White, thùng 25kg</t>
  </si>
  <si>
    <t>Sơn nội thất  American 1ONE, thùng 24kg</t>
  </si>
  <si>
    <t>Sơn nội thất POLE/CO/EC, thùng 24kg</t>
  </si>
  <si>
    <t>Sơn ngoại thất American 1ONE, thùng 24kg</t>
  </si>
  <si>
    <t>Sơn ngoại thất PLOE/CO/EC, thùng 24kg</t>
  </si>
  <si>
    <t xml:space="preserve"> * Sơn USA PAINT : Cty TNHH MTV Trương Nguyễn Phát (số 21, đường số 4, TTTM Nam Châu Đốc, ấp Mỹ Chánh, xã Mỹ Đức, huyện Châu Phú, AG). Giá bán tại công ty, giao hàng trong phạm vi 10km. Theo bảng giá ngày 01/01/2016</t>
  </si>
  <si>
    <t>Bột trét tường nội - ngoại thất USA - EXCEL (bao 40kg)</t>
  </si>
  <si>
    <t>Sơn chỉ nội - ngoại thất XO (lon/kg)</t>
  </si>
  <si>
    <t>Sơn nội thất kinh tế KOLUXSA 2 in 1 (thùng 18 lít - 24kg)</t>
  </si>
  <si>
    <t>Sơn ngoại thất kinh tế KOLUXSA 2 in 1 (thùng 18 lít - 24kg)</t>
  </si>
  <si>
    <t>Sơn lót chống kiềm - phủ trắng hiệu quả SEALER CO (thùng 18 lít - 25kg)</t>
  </si>
  <si>
    <t xml:space="preserve"> * Sơn JOTON : Chi nhánh Công ty CP L.Q JOTON tại Cần Thơ (KV Thạnh Mỹ, P. Thường Thạnh, Q. Cái Răng, Tp. Cần Thơ). Theo bảng giá ngày 14/4/2016</t>
  </si>
  <si>
    <t>Bột trét tường ngoại thất JOTON (bao 40kg)</t>
  </si>
  <si>
    <t>Bột trét tường nội thất JOTON (bao 40 kg)</t>
  </si>
  <si>
    <t>Sơn nước ngoại thất JONY (thùng 18 lít)</t>
  </si>
  <si>
    <t>Sơn nước nội thất AROMA (thùng 18 lít)</t>
  </si>
  <si>
    <t xml:space="preserve"> * Sơn LatVegas : Cty TNHH MTV Minh Nhật Long Xuyên (148/13B Dương Diên Nghệ, P.Mỹ Quý, Tp.LX). Theo bảng giá ngày 20/11/2015</t>
  </si>
  <si>
    <t>Bột trét nội thất cao cấp Nano tech-Silk</t>
  </si>
  <si>
    <t xml:space="preserve">Bột trét ngoại thất cao cấp Nano tech-Silk </t>
  </si>
  <si>
    <t>Sơn nước nội thất (sơn kinh tế trong nhà)</t>
  </si>
  <si>
    <t>Sơn nước ngoại thất (sơn kinh tế ngoài trời)</t>
  </si>
  <si>
    <t>Sơn lót (chống kiềm đa năng)</t>
  </si>
  <si>
    <t>Chống thấm Cement Kote</t>
  </si>
  <si>
    <t xml:space="preserve"> * Sơn PETROLIMEX : Cty TNHH MTV Xăng Dầu An Giang (số 145/1 Trần Hưng Đạo, Tp.LX, An Giang). Giao hàng tại văn phòng Cty, hỗ trợ giao đến chân công trình trên địa bàn tỉnh AG cho mỗi chuyến hàng từ 01 tấn trở lên. Theo bảng giá ngày 20/01/2016</t>
  </si>
  <si>
    <t>Sơn nước chất lượng cao ngoài trời GOLDTEX EcoDigital (Nhóm màu chuẩn, thùng/18 lít)</t>
  </si>
  <si>
    <t>Sơn nước chất lượng cao trong nhà GOLDTEX EcoDigital (Nhóm màu chuẩn, thùng/18 lít)</t>
  </si>
  <si>
    <t>Sơn lót chống kiềm chất lượng cao GOLDTEX EcoDigital (thùng/18 lít)</t>
  </si>
  <si>
    <t>Bột trét chất lượng cao GOLDTEX ngoài trời (bao/40 kg)</t>
  </si>
  <si>
    <t>Bột trét chất lượng cao GOLDTEX trong nhà (bao/40kg)</t>
  </si>
  <si>
    <t>Sơn nước kinh tế ngoài trời GOLDLUCK EcoDigital (thùng/18 lít)</t>
  </si>
  <si>
    <t>Sơn nước kinh tế trong nhà GOLDLUCK EcoDigital (thùng/18 lít)</t>
  </si>
  <si>
    <t>Sơn lót chống kiềm kinh tế GOLDLUCK (thùng/18 lít)</t>
  </si>
  <si>
    <t>Bột trét ngoài trời GOLDLUCK (bao/40 kg)</t>
  </si>
  <si>
    <t>Bột trét trong nhà GOLDLUCK (bao/40 kg)</t>
  </si>
  <si>
    <t>Sơn dầu GOLDVIK (nhóm màu chuẩn, thùng/17,5 lít)</t>
  </si>
  <si>
    <t>Sơn lót chống gỉ GOLDVIK (màu đỏ, thùng/17,5 lít)</t>
  </si>
  <si>
    <t>Sơn lót chống gỉ GOLDVIK (màu xám, thùng/17,5 lít)</t>
  </si>
  <si>
    <t>XVIII</t>
  </si>
  <si>
    <t>CHUYÊN NGÀNH NƯỚC</t>
  </si>
  <si>
    <t xml:space="preserve"> * Công ty TNHH Hoá nhựa Đệ Nhất Áp dụng cho khu vực phía Nam từ Quảng Bình). Theo bảng giá ngày 15/01/2015</t>
  </si>
  <si>
    <t xml:space="preserve">  - Ống PVC Đệ Nhất ISO 4422 # TCVN 6151:</t>
  </si>
  <si>
    <t xml:space="preserve"> Þ16    (dày 1,5 mm) </t>
  </si>
  <si>
    <t xml:space="preserve"> Þ 20    (dày 1,5 mm)</t>
  </si>
  <si>
    <t xml:space="preserve"> Þ 25    (dày 1,5 mm)</t>
  </si>
  <si>
    <t xml:space="preserve"> Þ 32    (dày 1,6 mm)</t>
  </si>
  <si>
    <t xml:space="preserve"> Þ 40    (dày 1,9 mm)</t>
  </si>
  <si>
    <t xml:space="preserve"> Þ 50    (dày 2,4 mm)</t>
  </si>
  <si>
    <t xml:space="preserve"> Þ 63    (dày 1,9 mm)</t>
  </si>
  <si>
    <t xml:space="preserve"> Þ 75    (dày 2,2 mm)</t>
  </si>
  <si>
    <t xml:space="preserve"> Þ 90    (dày 2,2 mm)</t>
  </si>
  <si>
    <t xml:space="preserve"> Þ 110  (dày 2,7 mm)</t>
  </si>
  <si>
    <t xml:space="preserve"> Þ 140  (dày 4,1 mm)</t>
  </si>
  <si>
    <t xml:space="preserve"> Þ 160  (dày 4,0 mm)</t>
  </si>
  <si>
    <t xml:space="preserve"> Þ200  (dày 4,9 mm) </t>
  </si>
  <si>
    <t xml:space="preserve"> - Ống PVC Đệ Nhất ASTM 2241 # BS 3505 và B908:</t>
  </si>
  <si>
    <t xml:space="preserve"> Þ 21    (dày 1,7 mm)</t>
  </si>
  <si>
    <t xml:space="preserve"> Þ 27    (dày 1,9 mm)</t>
  </si>
  <si>
    <t xml:space="preserve"> Þ 34    (dày 2,1 mm)</t>
  </si>
  <si>
    <t xml:space="preserve"> Þ42    (dày 2,1 mm)</t>
  </si>
  <si>
    <t xml:space="preserve"> Þ 49    (dày 2,5 mm)</t>
  </si>
  <si>
    <t xml:space="preserve"> Þ 60    (dày 2,5 mm)</t>
  </si>
  <si>
    <t xml:space="preserve"> Þ 60    (dày 3,0 mm)</t>
  </si>
  <si>
    <t xml:space="preserve"> Þ 73    (dày 3,0 mm)</t>
  </si>
  <si>
    <t xml:space="preserve"> Þ 76    (dày 3,0 mm)</t>
  </si>
  <si>
    <t xml:space="preserve"> Þ 90   (dày 3,0 mm)</t>
  </si>
  <si>
    <t xml:space="preserve"> Þ 114  (dày 3,5 mm)</t>
  </si>
  <si>
    <t xml:space="preserve"> Þ 114  (dày 5,0 mm)</t>
  </si>
  <si>
    <t xml:space="preserve"> Þ140  (dày 3,5 mm)</t>
  </si>
  <si>
    <t xml:space="preserve"> Þ 140  (dày 5,0 mm)</t>
  </si>
  <si>
    <t xml:space="preserve"> Þ 168  (dày 4,5 mm)</t>
  </si>
  <si>
    <t xml:space="preserve"> - Phụ kiện Đệ Nhất tiêu chuẩn ASTM hệ inch - loại dày:</t>
  </si>
  <si>
    <t xml:space="preserve"> Nối fi 42 (1-1/4")</t>
  </si>
  <si>
    <t xml:space="preserve"> Nối fi 49 (1-1/2")</t>
  </si>
  <si>
    <t xml:space="preserve"> Nối fi 60 (2")</t>
  </si>
  <si>
    <t xml:space="preserve"> Nối fi 76 (2-1/2")</t>
  </si>
  <si>
    <t xml:space="preserve"> Nối fi 90 (3") </t>
  </si>
  <si>
    <t xml:space="preserve"> Nối fi 114 (4")</t>
  </si>
  <si>
    <t xml:space="preserve"> Nối fi 168 (6")</t>
  </si>
  <si>
    <t xml:space="preserve"> Chữ  T fi 21 (1/2") </t>
  </si>
  <si>
    <t xml:space="preserve"> Chữ  T fi 27 (3/4") </t>
  </si>
  <si>
    <t xml:space="preserve"> Chữ  T fi 34 (1") </t>
  </si>
  <si>
    <t xml:space="preserve"> Chữ  T fi 42 (1-1/4") </t>
  </si>
  <si>
    <t xml:space="preserve"> Chữ  T fi 49 (1-1/2") </t>
  </si>
  <si>
    <t xml:space="preserve"> Chữ  T fi 60 (2") </t>
  </si>
  <si>
    <t xml:space="preserve"> Chữ  T fi 76 (2 - 1/2") </t>
  </si>
  <si>
    <t xml:space="preserve"> Chữ  T fi 90 (3") </t>
  </si>
  <si>
    <t xml:space="preserve"> Chữ  T fi 114 (4") </t>
  </si>
  <si>
    <t xml:space="preserve"> Chữ  T fi 168 (6") </t>
  </si>
  <si>
    <r>
      <t xml:space="preserve"> Co 45</t>
    </r>
    <r>
      <rPr>
        <vertAlign val="superscript"/>
        <sz val="10.5"/>
        <rFont val="Times New Roman"/>
        <family val="1"/>
      </rPr>
      <t>0</t>
    </r>
    <r>
      <rPr>
        <sz val="10.5"/>
        <rFont val="Times New Roman"/>
        <family val="1"/>
      </rPr>
      <t xml:space="preserve">  fi 42 (1-1/4")</t>
    </r>
  </si>
  <si>
    <r>
      <t xml:space="preserve"> Co 45</t>
    </r>
    <r>
      <rPr>
        <vertAlign val="superscript"/>
        <sz val="10.5"/>
        <rFont val="Times New Roman"/>
        <family val="1"/>
      </rPr>
      <t>0</t>
    </r>
    <r>
      <rPr>
        <sz val="10.5"/>
        <rFont val="Times New Roman"/>
        <family val="1"/>
      </rPr>
      <t xml:space="preserve">  fi 49 (1-1/2")</t>
    </r>
  </si>
  <si>
    <r>
      <t xml:space="preserve"> Co 45</t>
    </r>
    <r>
      <rPr>
        <vertAlign val="superscript"/>
        <sz val="10.5"/>
        <rFont val="Times New Roman"/>
        <family val="1"/>
      </rPr>
      <t>0</t>
    </r>
    <r>
      <rPr>
        <sz val="10.5"/>
        <rFont val="Times New Roman"/>
        <family val="1"/>
      </rPr>
      <t xml:space="preserve">  fi 60 (2") </t>
    </r>
  </si>
  <si>
    <r>
      <t xml:space="preserve"> Co 45</t>
    </r>
    <r>
      <rPr>
        <vertAlign val="superscript"/>
        <sz val="10.5"/>
        <rFont val="Times New Roman"/>
        <family val="1"/>
      </rPr>
      <t>0</t>
    </r>
    <r>
      <rPr>
        <sz val="10.5"/>
        <rFont val="Times New Roman"/>
        <family val="1"/>
      </rPr>
      <t xml:space="preserve">  fi 76 (2-1/2")</t>
    </r>
  </si>
  <si>
    <r>
      <t xml:space="preserve"> Co 45</t>
    </r>
    <r>
      <rPr>
        <vertAlign val="superscript"/>
        <sz val="10.5"/>
        <rFont val="Times New Roman"/>
        <family val="1"/>
      </rPr>
      <t>0</t>
    </r>
    <r>
      <rPr>
        <sz val="10.5"/>
        <rFont val="Times New Roman"/>
        <family val="1"/>
      </rPr>
      <t xml:space="preserve">  fi 90 (3") </t>
    </r>
  </si>
  <si>
    <r>
      <t xml:space="preserve"> Co 45</t>
    </r>
    <r>
      <rPr>
        <vertAlign val="superscript"/>
        <sz val="10.5"/>
        <rFont val="Times New Roman"/>
        <family val="1"/>
      </rPr>
      <t>0</t>
    </r>
    <r>
      <rPr>
        <sz val="10.5"/>
        <rFont val="Times New Roman"/>
        <family val="1"/>
      </rPr>
      <t xml:space="preserve"> fi 114 (4")</t>
    </r>
  </si>
  <si>
    <r>
      <t xml:space="preserve"> Co 45</t>
    </r>
    <r>
      <rPr>
        <vertAlign val="superscript"/>
        <sz val="10.5"/>
        <rFont val="Times New Roman"/>
        <family val="1"/>
      </rPr>
      <t>0</t>
    </r>
    <r>
      <rPr>
        <sz val="10.5"/>
        <rFont val="Times New Roman"/>
        <family val="1"/>
      </rPr>
      <t xml:space="preserve"> fi 168 (6")</t>
    </r>
  </si>
  <si>
    <t xml:space="preserve"> - Phụ kiện Đệ Nhất tiêu chuẩn ISO hệ mét - loại dày:</t>
  </si>
  <si>
    <t xml:space="preserve"> Nối fi 75</t>
  </si>
  <si>
    <t xml:space="preserve"> Nối fi 90</t>
  </si>
  <si>
    <t xml:space="preserve"> Nối fi 110</t>
  </si>
  <si>
    <t xml:space="preserve"> Nối fi 140  </t>
  </si>
  <si>
    <t xml:space="preserve"> Nối fi 160  </t>
  </si>
  <si>
    <t xml:space="preserve"> Nối fi 200  </t>
  </si>
  <si>
    <t xml:space="preserve"> Chữ T fi 50 </t>
  </si>
  <si>
    <t xml:space="preserve"> Chữ T fi 63 </t>
  </si>
  <si>
    <t xml:space="preserve"> Chữ T fi 75 </t>
  </si>
  <si>
    <t xml:space="preserve"> Chữ T fi 90 </t>
  </si>
  <si>
    <t xml:space="preserve"> Chữ T fi 110 </t>
  </si>
  <si>
    <t xml:space="preserve"> Chữ T fi 140</t>
  </si>
  <si>
    <t xml:space="preserve"> Chữ T fi 160</t>
  </si>
  <si>
    <t xml:space="preserve"> Chữ T fi 200</t>
  </si>
  <si>
    <r>
      <t xml:space="preserve"> Co 45</t>
    </r>
    <r>
      <rPr>
        <vertAlign val="superscript"/>
        <sz val="10.5"/>
        <rFont val="Times New Roman"/>
        <family val="1"/>
      </rPr>
      <t>0</t>
    </r>
    <r>
      <rPr>
        <sz val="10.5"/>
        <rFont val="Times New Roman"/>
        <family val="1"/>
      </rPr>
      <t xml:space="preserve">  fi 50</t>
    </r>
  </si>
  <si>
    <r>
      <t xml:space="preserve"> Co 45</t>
    </r>
    <r>
      <rPr>
        <vertAlign val="superscript"/>
        <sz val="10.5"/>
        <rFont val="Times New Roman"/>
        <family val="1"/>
      </rPr>
      <t>0</t>
    </r>
    <r>
      <rPr>
        <sz val="10.5"/>
        <rFont val="Times New Roman"/>
        <family val="1"/>
      </rPr>
      <t xml:space="preserve">  fi 63 </t>
    </r>
  </si>
  <si>
    <r>
      <t xml:space="preserve"> Co 45</t>
    </r>
    <r>
      <rPr>
        <vertAlign val="superscript"/>
        <sz val="10.5"/>
        <rFont val="Times New Roman"/>
        <family val="1"/>
      </rPr>
      <t>0</t>
    </r>
    <r>
      <rPr>
        <sz val="10.5"/>
        <rFont val="Times New Roman"/>
        <family val="1"/>
      </rPr>
      <t xml:space="preserve">  fi 75</t>
    </r>
  </si>
  <si>
    <r>
      <t xml:space="preserve"> Co 45</t>
    </r>
    <r>
      <rPr>
        <vertAlign val="superscript"/>
        <sz val="10.5"/>
        <rFont val="Times New Roman"/>
        <family val="1"/>
      </rPr>
      <t>0</t>
    </r>
    <r>
      <rPr>
        <sz val="10.5"/>
        <rFont val="Times New Roman"/>
        <family val="1"/>
      </rPr>
      <t xml:space="preserve">  fi 90 </t>
    </r>
  </si>
  <si>
    <r>
      <t xml:space="preserve"> Co 45</t>
    </r>
    <r>
      <rPr>
        <vertAlign val="superscript"/>
        <sz val="10.5"/>
        <rFont val="Times New Roman"/>
        <family val="1"/>
      </rPr>
      <t>0</t>
    </r>
    <r>
      <rPr>
        <sz val="10.5"/>
        <rFont val="Times New Roman"/>
        <family val="1"/>
      </rPr>
      <t xml:space="preserve"> fi 110 </t>
    </r>
  </si>
  <si>
    <r>
      <t xml:space="preserve"> Co 45</t>
    </r>
    <r>
      <rPr>
        <vertAlign val="superscript"/>
        <sz val="10.5"/>
        <rFont val="Times New Roman"/>
        <family val="1"/>
      </rPr>
      <t>0</t>
    </r>
    <r>
      <rPr>
        <sz val="10.5"/>
        <rFont val="Times New Roman"/>
        <family val="1"/>
      </rPr>
      <t xml:space="preserve"> fi 140 </t>
    </r>
  </si>
  <si>
    <r>
      <t xml:space="preserve"> Co 45</t>
    </r>
    <r>
      <rPr>
        <vertAlign val="superscript"/>
        <sz val="10.5"/>
        <rFont val="Times New Roman"/>
        <family val="1"/>
      </rPr>
      <t>0</t>
    </r>
    <r>
      <rPr>
        <sz val="10.5"/>
        <rFont val="Times New Roman"/>
        <family val="1"/>
      </rPr>
      <t xml:space="preserve"> fi 160 </t>
    </r>
  </si>
  <si>
    <r>
      <t xml:space="preserve"> Co 45</t>
    </r>
    <r>
      <rPr>
        <vertAlign val="superscript"/>
        <sz val="10.5"/>
        <rFont val="Times New Roman"/>
        <family val="1"/>
      </rPr>
      <t>0</t>
    </r>
    <r>
      <rPr>
        <sz val="10.5"/>
        <rFont val="Times New Roman"/>
        <family val="1"/>
      </rPr>
      <t xml:space="preserve"> fi 200</t>
    </r>
  </si>
  <si>
    <t xml:space="preserve"> Keo dán ống Đệ Nhất (loại 1kg)</t>
  </si>
  <si>
    <t>* Công ty Cổ phần Nhựa Bình Minh (Phía Nam: 240 Hậu Giang, P.9, Q.6, Tp.HCM). Theo bảng giá ngày 08/10/2015</t>
  </si>
  <si>
    <t xml:space="preserve"> - Ống uPVC - Ống gân Bình Minh: Tiêu chuẩn BS 3505:1968 (hệ Inch)</t>
  </si>
  <si>
    <t xml:space="preserve">  Þ 21    (dày 1,6 mm) PN 15 bar</t>
  </si>
  <si>
    <t xml:space="preserve">  Þ 27    (dày 1,8 mm) PN 12 bar</t>
  </si>
  <si>
    <t xml:space="preserve">  Þ 34    (dày 2,0 mm) PN 12 bar</t>
  </si>
  <si>
    <t xml:space="preserve">  Þ 42    (dày 2,1 mm) PN 9 bar</t>
  </si>
  <si>
    <t xml:space="preserve">  Þ 49    (dày 2,4 mm) PN 9 bar</t>
  </si>
  <si>
    <t xml:space="preserve">  Þ 60    (dày 2,0 mm) PN 6 bar</t>
  </si>
  <si>
    <t xml:space="preserve">  Þ 90    (dày 2,9 mm) PN 6 bar</t>
  </si>
  <si>
    <t xml:space="preserve">  Þ 114  (dày 3,8 mm) PN 6 bar</t>
  </si>
  <si>
    <t xml:space="preserve">  Þ 114  (dày 4,9 mm) PN 9 bar</t>
  </si>
  <si>
    <t xml:space="preserve">  Þ 168  (dày 4,3 mm) PN 3 bar</t>
  </si>
  <si>
    <t xml:space="preserve">  Þ 220  (dày 5,1 mm) PN 3bar</t>
  </si>
  <si>
    <t xml:space="preserve"> - Ống uPVC Bình Minh: TCVN 6151:1996 - ISO 4422: 1990 (hệ mét)</t>
  </si>
  <si>
    <t xml:space="preserve">  fi  63 x 1,6mm PN 5 bar</t>
  </si>
  <si>
    <t xml:space="preserve">  fi  63 x 1,9mm PN 6 bar</t>
  </si>
  <si>
    <t xml:space="preserve">  Þ 75 x 2,2mm PN 6 bar</t>
  </si>
  <si>
    <t xml:space="preserve">  Þ  90 x 2,7mm PN 6 bar</t>
  </si>
  <si>
    <t xml:space="preserve">  Þ  110 x 3,2mm PN 6 bar</t>
  </si>
  <si>
    <t xml:space="preserve">  Þ 140 x 4,1mm PN 6 bar</t>
  </si>
  <si>
    <t xml:space="preserve">  Þ  160 x 4mm PN 4 bar</t>
  </si>
  <si>
    <t xml:space="preserve">  Þ 160 x 7,7mm PN 10 bar</t>
  </si>
  <si>
    <t xml:space="preserve">  Þ 200 x 5,9mm PN 6 bar</t>
  </si>
  <si>
    <t xml:space="preserve"> - Ống uPVC Bình Minh: Tiêu chuẩn AS 1477:1996 CIOD (nối với ống gang)</t>
  </si>
  <si>
    <t xml:space="preserve">  Þ 100 x 6,7mm PN 12 bar</t>
  </si>
  <si>
    <t xml:space="preserve">  Þ 150 x 9,7mm PN 12 bar</t>
  </si>
  <si>
    <t xml:space="preserve"> - Ống uPVC Bình Minh: Tiêu chuẩn CIOD ISO 2531 (nối với ống gang). </t>
  </si>
  <si>
    <t xml:space="preserve">  Þ 200 x 9,7mm PN 10 bar</t>
  </si>
  <si>
    <t xml:space="preserve">  Þ 200 x 11,4mm PN 12,5 bar</t>
  </si>
  <si>
    <t xml:space="preserve"> - Phụ tùng cho Ống - Keo dán Bình Minh. Theo bảng giá ngày 08/10/2015</t>
  </si>
  <si>
    <t xml:space="preserve"> Nối trơn  21  dày</t>
  </si>
  <si>
    <t xml:space="preserve"> Nối trơn  27  dày</t>
  </si>
  <si>
    <t xml:space="preserve"> Nối trơn  34  dày</t>
  </si>
  <si>
    <t xml:space="preserve"> Nối trơn  42  dày</t>
  </si>
  <si>
    <t xml:space="preserve"> Nối trơn  49  dày</t>
  </si>
  <si>
    <t xml:space="preserve"> Nối trơn  60  dày</t>
  </si>
  <si>
    <t xml:space="preserve"> Nối trơn  75D TC </t>
  </si>
  <si>
    <t xml:space="preserve"> Nối trơn  90  dày</t>
  </si>
  <si>
    <t xml:space="preserve"> Nối trơn  110 dày</t>
  </si>
  <si>
    <t xml:space="preserve"> Nối trơn  114 dày</t>
  </si>
  <si>
    <t xml:space="preserve"> Nối trơn  140 TC </t>
  </si>
  <si>
    <t xml:space="preserve"> Nối trơn  160 TC </t>
  </si>
  <si>
    <t xml:space="preserve"> Nối trơn  168 TC </t>
  </si>
  <si>
    <r>
      <t xml:space="preserve"> Co 45</t>
    </r>
    <r>
      <rPr>
        <vertAlign val="superscript"/>
        <sz val="10.5"/>
        <rFont val="Times New Roman"/>
        <family val="1"/>
      </rPr>
      <t>0</t>
    </r>
    <r>
      <rPr>
        <sz val="10.5"/>
        <rFont val="Times New Roman"/>
        <family val="1"/>
      </rPr>
      <t xml:space="preserve"> 21 dày</t>
    </r>
  </si>
  <si>
    <r>
      <t xml:space="preserve"> Co 45</t>
    </r>
    <r>
      <rPr>
        <vertAlign val="superscript"/>
        <sz val="10.5"/>
        <rFont val="Times New Roman"/>
        <family val="1"/>
      </rPr>
      <t>0</t>
    </r>
    <r>
      <rPr>
        <sz val="10.5"/>
        <rFont val="Times New Roman"/>
        <family val="1"/>
      </rPr>
      <t xml:space="preserve"> 27 dày</t>
    </r>
  </si>
  <si>
    <r>
      <t xml:space="preserve"> Co 45</t>
    </r>
    <r>
      <rPr>
        <vertAlign val="superscript"/>
        <sz val="10.5"/>
        <rFont val="Times New Roman"/>
        <family val="1"/>
      </rPr>
      <t>0</t>
    </r>
    <r>
      <rPr>
        <sz val="10.5"/>
        <rFont val="Times New Roman"/>
        <family val="1"/>
      </rPr>
      <t xml:space="preserve"> 34 dày</t>
    </r>
  </si>
  <si>
    <r>
      <t xml:space="preserve"> Co 45</t>
    </r>
    <r>
      <rPr>
        <vertAlign val="superscript"/>
        <sz val="10.5"/>
        <rFont val="Times New Roman"/>
        <family val="1"/>
      </rPr>
      <t>0</t>
    </r>
    <r>
      <rPr>
        <sz val="10.5"/>
        <rFont val="Times New Roman"/>
        <family val="1"/>
      </rPr>
      <t xml:space="preserve"> 42 dày</t>
    </r>
  </si>
  <si>
    <r>
      <t xml:space="preserve"> Co 45</t>
    </r>
    <r>
      <rPr>
        <vertAlign val="superscript"/>
        <sz val="10.5"/>
        <rFont val="Times New Roman"/>
        <family val="1"/>
      </rPr>
      <t>0</t>
    </r>
    <r>
      <rPr>
        <sz val="10.5"/>
        <rFont val="Times New Roman"/>
        <family val="1"/>
      </rPr>
      <t xml:space="preserve"> 49 dày</t>
    </r>
  </si>
  <si>
    <r>
      <t xml:space="preserve"> Co 45</t>
    </r>
    <r>
      <rPr>
        <vertAlign val="superscript"/>
        <sz val="10.5"/>
        <rFont val="Times New Roman"/>
        <family val="1"/>
      </rPr>
      <t>0</t>
    </r>
    <r>
      <rPr>
        <sz val="10.5"/>
        <rFont val="Times New Roman"/>
        <family val="1"/>
      </rPr>
      <t xml:space="preserve"> 60 dày</t>
    </r>
  </si>
  <si>
    <r>
      <t xml:space="preserve"> Co 45</t>
    </r>
    <r>
      <rPr>
        <vertAlign val="superscript"/>
        <sz val="10.5"/>
        <rFont val="Times New Roman"/>
        <family val="1"/>
      </rPr>
      <t>0</t>
    </r>
    <r>
      <rPr>
        <sz val="10.5"/>
        <rFont val="Times New Roman"/>
        <family val="1"/>
      </rPr>
      <t xml:space="preserve"> 75 TC</t>
    </r>
  </si>
  <si>
    <r>
      <t xml:space="preserve"> Co 45</t>
    </r>
    <r>
      <rPr>
        <vertAlign val="superscript"/>
        <sz val="10.5"/>
        <rFont val="Times New Roman"/>
        <family val="1"/>
      </rPr>
      <t>0</t>
    </r>
    <r>
      <rPr>
        <sz val="10.5"/>
        <rFont val="Times New Roman"/>
        <family val="1"/>
      </rPr>
      <t xml:space="preserve"> 90 dày</t>
    </r>
  </si>
  <si>
    <r>
      <t xml:space="preserve"> Co 45</t>
    </r>
    <r>
      <rPr>
        <vertAlign val="superscript"/>
        <sz val="10.5"/>
        <rFont val="Times New Roman"/>
        <family val="1"/>
      </rPr>
      <t>0</t>
    </r>
    <r>
      <rPr>
        <sz val="10.5"/>
        <rFont val="Times New Roman"/>
        <family val="1"/>
      </rPr>
      <t xml:space="preserve"> 110 dày</t>
    </r>
  </si>
  <si>
    <r>
      <t xml:space="preserve"> Co 45</t>
    </r>
    <r>
      <rPr>
        <vertAlign val="superscript"/>
        <sz val="10.5"/>
        <rFont val="Times New Roman"/>
        <family val="1"/>
      </rPr>
      <t>0</t>
    </r>
    <r>
      <rPr>
        <sz val="10.5"/>
        <rFont val="Times New Roman"/>
        <family val="1"/>
      </rPr>
      <t xml:space="preserve"> 114 dày</t>
    </r>
  </si>
  <si>
    <r>
      <t xml:space="preserve"> Co 45</t>
    </r>
    <r>
      <rPr>
        <vertAlign val="superscript"/>
        <sz val="10.5"/>
        <rFont val="Times New Roman"/>
        <family val="1"/>
      </rPr>
      <t>0</t>
    </r>
    <r>
      <rPr>
        <sz val="10.5"/>
        <rFont val="Times New Roman"/>
        <family val="1"/>
      </rPr>
      <t xml:space="preserve"> 140 dày</t>
    </r>
  </si>
  <si>
    <r>
      <t xml:space="preserve"> Co 45</t>
    </r>
    <r>
      <rPr>
        <vertAlign val="superscript"/>
        <sz val="10.5"/>
        <rFont val="Times New Roman"/>
        <family val="1"/>
      </rPr>
      <t>0</t>
    </r>
    <r>
      <rPr>
        <sz val="10.5"/>
        <rFont val="Times New Roman"/>
        <family val="1"/>
      </rPr>
      <t xml:space="preserve"> 168  TC</t>
    </r>
  </si>
  <si>
    <t xml:space="preserve"> Chữ  T fi 21 dày</t>
  </si>
  <si>
    <t xml:space="preserve"> Chữ  T fi 27 dày</t>
  </si>
  <si>
    <t xml:space="preserve"> Chữ  T fi 34 dày</t>
  </si>
  <si>
    <t xml:space="preserve"> Chữ  T fi 42 dày</t>
  </si>
  <si>
    <t xml:space="preserve"> Chữ  T fi 49 dày</t>
  </si>
  <si>
    <t xml:space="preserve"> Chữ  T fi 60 dày</t>
  </si>
  <si>
    <t xml:space="preserve"> Chữ  T fi 75 dày</t>
  </si>
  <si>
    <t xml:space="preserve"> Chữ  T fi 90 dày</t>
  </si>
  <si>
    <t xml:space="preserve"> Chữ  T fi 110 dày</t>
  </si>
  <si>
    <t xml:space="preserve"> Chữ  T fi 114 dày</t>
  </si>
  <si>
    <t xml:space="preserve"> Chữ  T fi 140 dày</t>
  </si>
  <si>
    <t xml:space="preserve"> Keo dán ống Bình Minh (loại 1kg)</t>
  </si>
  <si>
    <t xml:space="preserve"> Que hàn nhựa</t>
  </si>
  <si>
    <t xml:space="preserve"> - Ống HDPE Bình Minh: (tiêu chuẩn/Standard ISO 4427-2:2007). Theo bảng giá ngày 08/10/2015.</t>
  </si>
  <si>
    <t xml:space="preserve"> D180 x 10,7mm  PN 10 bar</t>
  </si>
  <si>
    <t xml:space="preserve"> D180 x 13,3mm  PN 12,5 bar</t>
  </si>
  <si>
    <t xml:space="preserve"> D180 x 16,4m  PN 16 bar</t>
  </si>
  <si>
    <t xml:space="preserve"> D200 x 11,9mm  PN 10 bar</t>
  </si>
  <si>
    <t xml:space="preserve"> D200 x 14,7mm  PN 12,5 bar</t>
  </si>
  <si>
    <t xml:space="preserve"> D200 x 18,2m  PN 16 bar</t>
  </si>
  <si>
    <t xml:space="preserve"> D225 x 13,4mm  PN 10 bar</t>
  </si>
  <si>
    <t xml:space="preserve"> D225 x 16,6mm  PN 12,5 bar</t>
  </si>
  <si>
    <t xml:space="preserve"> D225 x 20,5m  PN 16 bar</t>
  </si>
  <si>
    <t xml:space="preserve"> D250 x 14,8mm  PN 10 bar</t>
  </si>
  <si>
    <t xml:space="preserve"> D250 x 18,4mm  PN 12,5 bar</t>
  </si>
  <si>
    <t xml:space="preserve"> D250 x 22,7m  PN 16 bar</t>
  </si>
  <si>
    <t xml:space="preserve"> D280 x 16,6mm  PN 10 bar</t>
  </si>
  <si>
    <t xml:space="preserve"> D280 x 20,6mm  PN 12,5 bar</t>
  </si>
  <si>
    <t xml:space="preserve"> D280 x 25,4m  PN 16 bar</t>
  </si>
  <si>
    <t xml:space="preserve"> D315 x 18,7mm  PN 10 bar</t>
  </si>
  <si>
    <t xml:space="preserve"> D315 x 23,2mm  PN 12,5 bar</t>
  </si>
  <si>
    <t xml:space="preserve"> D315 x 28,6m  PN 16 bar</t>
  </si>
  <si>
    <t xml:space="preserve"> - Ống PP-R Bình Minh. Theo bảng giá ngày 08/10/2015</t>
  </si>
  <si>
    <t xml:space="preserve"> Þ 20 x 1,9mm   10 bar</t>
  </si>
  <si>
    <t xml:space="preserve"> Þ 32 x 2,9mm  10 bar</t>
  </si>
  <si>
    <t xml:space="preserve"> Þ 40 x 3,7mm  10 bar</t>
  </si>
  <si>
    <t xml:space="preserve"> Þ 63 x 5,8mm  10 bar</t>
  </si>
  <si>
    <t xml:space="preserve"> Þ 75 x 6,8mm  10 bar</t>
  </si>
  <si>
    <t xml:space="preserve"> Þ 90 x 8,2mm  10 bar</t>
  </si>
  <si>
    <t xml:space="preserve"> Þ 160 x 14,6mm  10 bar</t>
  </si>
  <si>
    <t>*  Công ty Cổ phần Nhựa Tân Tiến (giá giao tại công trình). Theo bảng giá ngày 09/01/2015</t>
  </si>
  <si>
    <t xml:space="preserve"> - Ống uPVC Tân Tiến - tiêu chuẩn BS 3505: 1968 (hệ In)</t>
  </si>
  <si>
    <t xml:space="preserve"> Þ 21mm x 1,6mm</t>
  </si>
  <si>
    <t>đ/mét</t>
  </si>
  <si>
    <t xml:space="preserve"> Þ 21mm x 2,0mm</t>
  </si>
  <si>
    <t xml:space="preserve"> Þ 27mm x 1,8mm</t>
  </si>
  <si>
    <t xml:space="preserve"> Þ 34mm x 1,8mm</t>
  </si>
  <si>
    <t xml:space="preserve"> Þ 42mm x 2,1mm</t>
  </si>
  <si>
    <t xml:space="preserve"> Þ 42mm x 3,5mm</t>
  </si>
  <si>
    <t xml:space="preserve"> Þ 49mm x 2,4mm</t>
  </si>
  <si>
    <t xml:space="preserve"> Þ 49mm x 3,5mm</t>
  </si>
  <si>
    <t xml:space="preserve"> Þ 60mm x 3,5mm</t>
  </si>
  <si>
    <t xml:space="preserve"> Þ 90mm x 2,7mm</t>
  </si>
  <si>
    <t xml:space="preserve"> Þ 90mm x 3,8mm</t>
  </si>
  <si>
    <t xml:space="preserve"> Þ 114mm x 3,2mm</t>
  </si>
  <si>
    <t xml:space="preserve"> Þ 114mm x 3,8mm</t>
  </si>
  <si>
    <t xml:space="preserve"> Þ 168mm x 4,3mm</t>
  </si>
  <si>
    <t xml:space="preserve"> - Ống uPVC Tân Tiến - tiêu chuẩn TCVN 6151:1996  tương đương tiêu chuẩn ISO 4422:1990 (hệ mét)</t>
  </si>
  <si>
    <t xml:space="preserve"> Þ 75mm x 3,0mm</t>
  </si>
  <si>
    <t xml:space="preserve"> Þ 110mm x 3,2mm</t>
  </si>
  <si>
    <t xml:space="preserve"> Þ 140mm x 4,1mm</t>
  </si>
  <si>
    <t xml:space="preserve"> Þ 160mm x 4,7mm</t>
  </si>
  <si>
    <t xml:space="preserve"> Þ 200mm x 5,9mm</t>
  </si>
  <si>
    <t xml:space="preserve"> - Ống uPVC Tân Tiến - tiêu chuẩn AS 1477:1996 &amp; AS 2977: 1998 (CIOD - nối với ống gang) </t>
  </si>
  <si>
    <t xml:space="preserve"> Þ100 (121mm x 6,7mm)</t>
  </si>
  <si>
    <t xml:space="preserve"> Þ 150 (177mm x 9,7mm)</t>
  </si>
  <si>
    <t xml:space="preserve"> Þ 150 (177mm x 11,7mm)</t>
  </si>
  <si>
    <t xml:space="preserve"> - Ống uPVC Tân Tiến - tiêu chuẩn CIOD 2531 (nối với ống gang) </t>
  </si>
  <si>
    <t xml:space="preserve"> Þ 200 (222mm x 9,7mm)</t>
  </si>
  <si>
    <t xml:space="preserve"> Þ 200 (222mm x 11,5mm)</t>
  </si>
  <si>
    <t xml:space="preserve"> Þ 200 (222mm x 13,7mm)</t>
  </si>
  <si>
    <t xml:space="preserve"> - Ống HDPE - PE 100 Tân Tiến - tiêu chuẩn ISO 4427: 2007 hoặc DIN 8074:1999.</t>
  </si>
  <si>
    <t xml:space="preserve"> Þ 20 x 2.0mm, áp lực (PN) 16 bar</t>
  </si>
  <si>
    <t xml:space="preserve"> Þ 25 x 2.3mm, áp lực (PN) 16 bar</t>
  </si>
  <si>
    <t xml:space="preserve"> Þ 32 x 3.0mm, áp lực (PN) 16 bar</t>
  </si>
  <si>
    <t xml:space="preserve"> Þ 40 x 3.7mm, áp lực (PN) 16 bar</t>
  </si>
  <si>
    <t xml:space="preserve"> Þ 50 x 3.7mm, áp lực (PN) 12,5 bar</t>
  </si>
  <si>
    <t xml:space="preserve"> Þ 63 x 4.7mm, áp lực (PN) 12,5 bar</t>
  </si>
  <si>
    <t xml:space="preserve"> Þ 75 x 5.6mm, áp lực (PN) 12,5 bar</t>
  </si>
  <si>
    <t xml:space="preserve"> Þ 90 x 5.4mm, áp lực (PN) 10 bar</t>
  </si>
  <si>
    <t xml:space="preserve"> Þ 110 x 6.6mm, áp lực (PN) 10 bar</t>
  </si>
  <si>
    <t xml:space="preserve"> Þ 125 x 7.4mm, áp lực (PN) 10 bar</t>
  </si>
  <si>
    <t xml:space="preserve"> Þ 140 x 8.3mm, áp lực (PN) 10 bar</t>
  </si>
  <si>
    <t xml:space="preserve"> Þ 160 x 9.5mm, áp lực (PN) 10 bar</t>
  </si>
  <si>
    <t xml:space="preserve"> Þ 180 x 10.7mm, áp lực (PN) 10 bar</t>
  </si>
  <si>
    <t xml:space="preserve"> Þ 200 x 11.9mm, áp lực (PN) 10 bar</t>
  </si>
  <si>
    <t>* Công ty Cổ phần Nhựa Thiếu Niên Tiền Phong Phía Nam. Theo bảng giá ngày 17/3/2015</t>
  </si>
  <si>
    <t xml:space="preserve"> - Ống uPVC - tiêu chuẩn BS 3505</t>
  </si>
  <si>
    <t xml:space="preserve"> Þ  34mm x 2,0mm</t>
  </si>
  <si>
    <t xml:space="preserve"> Þ 60mm x 2,0mm</t>
  </si>
  <si>
    <t xml:space="preserve"> Þ 90mm x 2,9mm</t>
  </si>
  <si>
    <t xml:space="preserve"> Þ 114mm x 4,9mm</t>
  </si>
  <si>
    <t xml:space="preserve"> Þ 168mm x 4.3mm</t>
  </si>
  <si>
    <t xml:space="preserve"> Þ 168mm x 7,3mm</t>
  </si>
  <si>
    <t xml:space="preserve"> Þ 220mm x 5,1mm</t>
  </si>
  <si>
    <t xml:space="preserve"> Þ 220mm x8,7mm</t>
  </si>
  <si>
    <t xml:space="preserve"> - Phụ tùng cho ống uPVC Thiếu Niên Tiền Phong Phía Nam:</t>
  </si>
  <si>
    <r>
      <t xml:space="preserve"> Nối thẳng </t>
    </r>
    <r>
      <rPr>
        <sz val="10.5"/>
        <rFont val="VNI-Times"/>
      </rPr>
      <t>Þ</t>
    </r>
    <r>
      <rPr>
        <sz val="10.5"/>
        <rFont val="Times New Roman"/>
        <family val="1"/>
      </rPr>
      <t xml:space="preserve">  21 D</t>
    </r>
  </si>
  <si>
    <r>
      <t xml:space="preserve"> Nối thẳng </t>
    </r>
    <r>
      <rPr>
        <sz val="10.5"/>
        <rFont val="VNI-Times"/>
      </rPr>
      <t>Þ</t>
    </r>
    <r>
      <rPr>
        <sz val="10.5"/>
        <rFont val="Times New Roman"/>
        <family val="1"/>
      </rPr>
      <t xml:space="preserve">  27 D</t>
    </r>
  </si>
  <si>
    <r>
      <t xml:space="preserve"> Nối thẳng </t>
    </r>
    <r>
      <rPr>
        <sz val="10.5"/>
        <rFont val="VNI-Times"/>
      </rPr>
      <t>Þ</t>
    </r>
    <r>
      <rPr>
        <sz val="10.5"/>
        <rFont val="Times New Roman"/>
        <family val="1"/>
      </rPr>
      <t xml:space="preserve">  34 D</t>
    </r>
  </si>
  <si>
    <r>
      <t xml:space="preserve"> Nối thẳng </t>
    </r>
    <r>
      <rPr>
        <sz val="10.5"/>
        <rFont val="VNI-Times"/>
      </rPr>
      <t>Þ</t>
    </r>
    <r>
      <rPr>
        <sz val="10.5"/>
        <rFont val="Times New Roman"/>
        <family val="1"/>
      </rPr>
      <t xml:space="preserve">  42 D</t>
    </r>
  </si>
  <si>
    <r>
      <t xml:space="preserve"> Nối thẳng </t>
    </r>
    <r>
      <rPr>
        <sz val="10.5"/>
        <rFont val="VNI-Times"/>
      </rPr>
      <t>Þ</t>
    </r>
    <r>
      <rPr>
        <sz val="10.5"/>
        <rFont val="Times New Roman"/>
        <family val="1"/>
      </rPr>
      <t xml:space="preserve">  60 D</t>
    </r>
  </si>
  <si>
    <r>
      <t xml:space="preserve"> Nối thẳng </t>
    </r>
    <r>
      <rPr>
        <sz val="10.5"/>
        <rFont val="VNI-Times"/>
      </rPr>
      <t>Þ</t>
    </r>
    <r>
      <rPr>
        <sz val="10.5"/>
        <rFont val="Times New Roman"/>
        <family val="1"/>
      </rPr>
      <t xml:space="preserve">  90 D</t>
    </r>
  </si>
  <si>
    <r>
      <t xml:space="preserve"> Nối thẳng </t>
    </r>
    <r>
      <rPr>
        <sz val="10.5"/>
        <rFont val="VNI-Times"/>
      </rPr>
      <t>Þ</t>
    </r>
    <r>
      <rPr>
        <sz val="10.5"/>
        <rFont val="Times New Roman"/>
        <family val="1"/>
      </rPr>
      <t xml:space="preserve">  114 M</t>
    </r>
  </si>
  <si>
    <r>
      <t xml:space="preserve"> Co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21 D</t>
    </r>
  </si>
  <si>
    <r>
      <t xml:space="preserve"> Co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27 D</t>
    </r>
  </si>
  <si>
    <r>
      <t xml:space="preserve"> Co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34 D</t>
    </r>
  </si>
  <si>
    <r>
      <t xml:space="preserve"> Co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42 D</t>
    </r>
  </si>
  <si>
    <r>
      <t xml:space="preserve"> Co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49 D</t>
    </r>
  </si>
  <si>
    <r>
      <t xml:space="preserve"> Co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60 D</t>
    </r>
  </si>
  <si>
    <r>
      <t xml:space="preserve"> Co 45</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90 M</t>
    </r>
  </si>
  <si>
    <r>
      <t xml:space="preserve"> Co 45</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90 D</t>
    </r>
  </si>
  <si>
    <r>
      <t>T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21 D</t>
    </r>
  </si>
  <si>
    <r>
      <t>T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27 D</t>
    </r>
  </si>
  <si>
    <r>
      <t>T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34 D</t>
    </r>
  </si>
  <si>
    <r>
      <t>T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42 D</t>
    </r>
  </si>
  <si>
    <r>
      <t>T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49 D</t>
    </r>
  </si>
  <si>
    <r>
      <t>T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60 D</t>
    </r>
  </si>
  <si>
    <r>
      <t>T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90 D</t>
    </r>
  </si>
  <si>
    <t xml:space="preserve"> - Ống HDPE PE 100 - Tiêu chuẩn ISO 4427-2:2007</t>
  </si>
  <si>
    <t xml:space="preserve"> Þ 32 dày 2,0mm</t>
  </si>
  <si>
    <t xml:space="preserve"> Þ 40 dày 2,4mm</t>
  </si>
  <si>
    <t xml:space="preserve"> Þ 50 dày 3,0mm</t>
  </si>
  <si>
    <t xml:space="preserve"> Þ 75 dày 4,5mm</t>
  </si>
  <si>
    <t xml:space="preserve"> Þ 90 dày 5,4mm</t>
  </si>
  <si>
    <t xml:space="preserve"> Þ 110 dày 4,2mm</t>
  </si>
  <si>
    <t xml:space="preserve"> Þ160 dày 5,4mm</t>
  </si>
  <si>
    <t xml:space="preserve"> Þ 200 dày 7,7mm</t>
  </si>
  <si>
    <t xml:space="preserve"> Þ 250 dày 9,6mm</t>
  </si>
  <si>
    <t xml:space="preserve"> Þ 400 dày 15,3mm</t>
  </si>
  <si>
    <t xml:space="preserve"> Þ 450 dày 17,2mm</t>
  </si>
  <si>
    <t xml:space="preserve"> Þ 500 dày 19,1mm</t>
  </si>
  <si>
    <t>* Chi nhánh Long Xuyên - Công ty CPTĐ Hoa Sen (Tổ 12, K.Bình Đức 5, P.Bình Đức, Tp.LX). Theo bảng giá ngày 15/02/2016</t>
  </si>
  <si>
    <t xml:space="preserve"> - Ống uPVC Hoa Sen - tiêu chuẩn BS 3505: 1968 (hệ In)</t>
  </si>
  <si>
    <t xml:space="preserve"> Þ 21mm x 1,2mm</t>
  </si>
  <si>
    <t xml:space="preserve"> Þ 21mm x 1,4mm</t>
  </si>
  <si>
    <t xml:space="preserve"> Þ 27mm x 1,3mm</t>
  </si>
  <si>
    <t xml:space="preserve"> Þ 27mm x 1,6mm</t>
  </si>
  <si>
    <t xml:space="preserve"> Þ 34mm x 1,4mm</t>
  </si>
  <si>
    <t xml:space="preserve"> Þ 34mm x 1,6mm</t>
  </si>
  <si>
    <t xml:space="preserve"> Þ 42mm x 1,4mm</t>
  </si>
  <si>
    <t xml:space="preserve"> Þ 42mm x 1,6mm</t>
  </si>
  <si>
    <t xml:space="preserve"> Þ 42mm x 2,0mm</t>
  </si>
  <si>
    <t xml:space="preserve"> Þ 49mm x 1,8mm</t>
  </si>
  <si>
    <t xml:space="preserve"> Þ 49mm x 2,0mm</t>
  </si>
  <si>
    <t xml:space="preserve"> Þ 49mm x 2,2mm</t>
  </si>
  <si>
    <t xml:space="preserve"> Þ 60mm x 1,5mm</t>
  </si>
  <si>
    <t xml:space="preserve"> Þ 60mm x 1,6mm</t>
  </si>
  <si>
    <t xml:space="preserve"> Þ 63mm x 1,6mm</t>
  </si>
  <si>
    <t xml:space="preserve"> Þ 76mm x 1,8mm</t>
  </si>
  <si>
    <t xml:space="preserve"> Þ 76mm x 2,2mm</t>
  </si>
  <si>
    <t xml:space="preserve"> Þ 90mm x 1,7mm</t>
  </si>
  <si>
    <t xml:space="preserve"> Þ 90mm x 2,2mm</t>
  </si>
  <si>
    <t xml:space="preserve"> Þ 110mm x 1,8mm</t>
  </si>
  <si>
    <t xml:space="preserve"> Þ 110mm x 2,7mm</t>
  </si>
  <si>
    <t xml:space="preserve"> Þ 114mm x 1,8mm</t>
  </si>
  <si>
    <t xml:space="preserve"> Þ 114mm x 2,6mm</t>
  </si>
  <si>
    <t xml:space="preserve"> Þ 114mm x 3,0mm</t>
  </si>
  <si>
    <t xml:space="preserve"> - Ống uPVC Hoa Sen - tiêu chuẩn TCVN 6151:1996  tương đương tiêu chuẩn ISO 4422:1990 (hệ mét)</t>
  </si>
  <si>
    <t xml:space="preserve"> Þ 125 x 3,0mm</t>
  </si>
  <si>
    <t xml:space="preserve"> Þ 130 x 3,2mm</t>
  </si>
  <si>
    <t xml:space="preserve"> Þ 130 x 3,5mm</t>
  </si>
  <si>
    <t xml:space="preserve"> Þ 140 x 3,5mm</t>
  </si>
  <si>
    <t xml:space="preserve"> Þ 160 x 4,0mm</t>
  </si>
  <si>
    <t xml:space="preserve"> Þ 168 x 3,5mm</t>
  </si>
  <si>
    <t xml:space="preserve"> Þ 168 x 4,3mm</t>
  </si>
  <si>
    <t xml:space="preserve"> Þ 200 x 4,0mm</t>
  </si>
  <si>
    <t xml:space="preserve"> Þ 200 x 5,0mm</t>
  </si>
  <si>
    <t xml:space="preserve"> Þ 220 x 5,1mm</t>
  </si>
  <si>
    <t xml:space="preserve"> Þ 225 x 5,5mm</t>
  </si>
  <si>
    <t xml:space="preserve"> Þ 250 x 6,2mm</t>
  </si>
  <si>
    <t xml:space="preserve"> Þ 250 x 6,5mm</t>
  </si>
  <si>
    <t xml:space="preserve"> Þ 280 x 6,9mm</t>
  </si>
  <si>
    <t xml:space="preserve"> Þ 315 x 6,2mm</t>
  </si>
  <si>
    <t xml:space="preserve"> Þ 315 x 8,0mm</t>
  </si>
  <si>
    <t xml:space="preserve"> Þ 400 x 8,0mm</t>
  </si>
  <si>
    <t xml:space="preserve"> Þ 450 x 11,0mm</t>
  </si>
  <si>
    <t xml:space="preserve"> Þ 500 x 9,8mm</t>
  </si>
  <si>
    <t xml:space="preserve"> Þ 560 x 13,7mm</t>
  </si>
  <si>
    <t xml:space="preserve"> Þ 630 x 15,4mm</t>
  </si>
  <si>
    <t xml:space="preserve"> - Phụ tùng cho Ống - Keo dán Hoa Sen.</t>
  </si>
  <si>
    <r>
      <t xml:space="preserve"> Co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21 dày</t>
    </r>
  </si>
  <si>
    <r>
      <t xml:space="preserve"> Co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27 dày</t>
    </r>
  </si>
  <si>
    <r>
      <t xml:space="preserve"> Co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34 dày</t>
    </r>
  </si>
  <si>
    <r>
      <t xml:space="preserve"> Co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42 dày</t>
    </r>
  </si>
  <si>
    <r>
      <t xml:space="preserve"> Co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49 dày</t>
    </r>
  </si>
  <si>
    <r>
      <t xml:space="preserve"> Co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60 dày</t>
    </r>
  </si>
  <si>
    <r>
      <t>T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21 dày</t>
    </r>
  </si>
  <si>
    <r>
      <t>T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27 dày</t>
    </r>
  </si>
  <si>
    <r>
      <t>T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34 dày</t>
    </r>
  </si>
  <si>
    <r>
      <t>T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42 dày</t>
    </r>
  </si>
  <si>
    <r>
      <t>T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49 dày</t>
    </r>
  </si>
  <si>
    <r>
      <t>T 90</t>
    </r>
    <r>
      <rPr>
        <vertAlign val="superscript"/>
        <sz val="10.5"/>
        <rFont val="Times New Roman"/>
        <family val="1"/>
      </rPr>
      <t>0</t>
    </r>
    <r>
      <rPr>
        <sz val="10.5"/>
        <rFont val="Times New Roman"/>
        <family val="1"/>
      </rPr>
      <t xml:space="preserve"> </t>
    </r>
    <r>
      <rPr>
        <sz val="10.5"/>
        <rFont val="VNI-Times"/>
      </rPr>
      <t>Þ</t>
    </r>
    <r>
      <rPr>
        <sz val="10.5"/>
        <rFont val="Times New Roman"/>
        <family val="1"/>
      </rPr>
      <t xml:space="preserve"> 60 dày</t>
    </r>
  </si>
  <si>
    <r>
      <t xml:space="preserve"> Nối trơn </t>
    </r>
    <r>
      <rPr>
        <sz val="10.5"/>
        <rFont val="VNI-Times"/>
      </rPr>
      <t>Þ</t>
    </r>
    <r>
      <rPr>
        <sz val="10.5"/>
        <rFont val="Times New Roman"/>
        <family val="1"/>
      </rPr>
      <t xml:space="preserve">  21 dày</t>
    </r>
  </si>
  <si>
    <r>
      <t xml:space="preserve"> Nối trơn </t>
    </r>
    <r>
      <rPr>
        <sz val="10.5"/>
        <rFont val="VNI-Times"/>
      </rPr>
      <t>Þ</t>
    </r>
    <r>
      <rPr>
        <sz val="10.5"/>
        <rFont val="Times New Roman"/>
        <family val="1"/>
      </rPr>
      <t xml:space="preserve">  27 dày</t>
    </r>
  </si>
  <si>
    <r>
      <t xml:space="preserve"> Nối trơn </t>
    </r>
    <r>
      <rPr>
        <sz val="10.5"/>
        <rFont val="VNI-Times"/>
      </rPr>
      <t>Þ</t>
    </r>
    <r>
      <rPr>
        <sz val="10.5"/>
        <rFont val="Times New Roman"/>
        <family val="1"/>
      </rPr>
      <t xml:space="preserve">  34 dày</t>
    </r>
  </si>
  <si>
    <r>
      <t xml:space="preserve"> Nối trơn </t>
    </r>
    <r>
      <rPr>
        <sz val="10.5"/>
        <rFont val="VNI-Times"/>
      </rPr>
      <t>Þ</t>
    </r>
    <r>
      <rPr>
        <sz val="10.5"/>
        <rFont val="Times New Roman"/>
        <family val="1"/>
      </rPr>
      <t xml:space="preserve">  42 dày</t>
    </r>
  </si>
  <si>
    <r>
      <t xml:space="preserve"> Nối trơn </t>
    </r>
    <r>
      <rPr>
        <sz val="10.5"/>
        <rFont val="VNI-Times"/>
      </rPr>
      <t>Þ</t>
    </r>
    <r>
      <rPr>
        <sz val="10.5"/>
        <rFont val="Times New Roman"/>
        <family val="1"/>
      </rPr>
      <t xml:space="preserve">  49 dày</t>
    </r>
  </si>
  <si>
    <r>
      <t xml:space="preserve"> Nối trơn </t>
    </r>
    <r>
      <rPr>
        <sz val="10.5"/>
        <rFont val="VNI-Times"/>
      </rPr>
      <t>Þ</t>
    </r>
    <r>
      <rPr>
        <sz val="10.5"/>
        <rFont val="Times New Roman"/>
        <family val="1"/>
      </rPr>
      <t xml:space="preserve">  60 dày</t>
    </r>
  </si>
  <si>
    <t>Keo dán (1 kg)</t>
  </si>
  <si>
    <t>đ/tuýp</t>
  </si>
  <si>
    <t xml:space="preserve"> - Ống HDPE Hoa Sen - tiêu chuẩn TCVN 4427:2007 </t>
  </si>
  <si>
    <t xml:space="preserve"> Þ 16 x 2,0mm</t>
  </si>
  <si>
    <t xml:space="preserve"> Þ 20 x 2,0mm</t>
  </si>
  <si>
    <t xml:space="preserve"> Þ 25 x 3,0mm</t>
  </si>
  <si>
    <t xml:space="preserve"> Þ 32 x 3,6mm</t>
  </si>
  <si>
    <t xml:space="preserve"> Þ 40 x 4,5mm</t>
  </si>
  <si>
    <t xml:space="preserve"> Þ 50 x 5,6mm</t>
  </si>
  <si>
    <t xml:space="preserve"> Þ 63 x 7,1mm</t>
  </si>
  <si>
    <t xml:space="preserve"> Þ 75 x 8,4mm</t>
  </si>
  <si>
    <t xml:space="preserve"> Þ 90 x 10,1mm</t>
  </si>
  <si>
    <t xml:space="preserve"> Þ 110 x 12,3mm</t>
  </si>
  <si>
    <t xml:space="preserve"> Þ 125 x 14,0mm</t>
  </si>
  <si>
    <t xml:space="preserve"> Þ 140 x 15,7mm</t>
  </si>
  <si>
    <t xml:space="preserve"> Þ 160 x 17,9mm</t>
  </si>
  <si>
    <t xml:space="preserve"> - Ống PPR Hoa Sen - tiêu chuẩn DIN 8077:2008 / DIN 8077:2008</t>
  </si>
  <si>
    <t xml:space="preserve"> Þ 20 x 2,1mm</t>
  </si>
  <si>
    <t xml:space="preserve"> Þ 25 x 5,1mm</t>
  </si>
  <si>
    <t xml:space="preserve"> Þ 32 x 6,5mm</t>
  </si>
  <si>
    <t xml:space="preserve"> Þ 40 x 8,1mm</t>
  </si>
  <si>
    <t xml:space="preserve"> Þ 50 x 10,1mm</t>
  </si>
  <si>
    <t xml:space="preserve"> Þ 63 x 12,7mm</t>
  </si>
  <si>
    <t xml:space="preserve"> Þ 75 x 15,1mm</t>
  </si>
  <si>
    <t xml:space="preserve"> Þ 90 x 18,1mm</t>
  </si>
  <si>
    <t xml:space="preserve"> Þ 110 x 22,1mm</t>
  </si>
  <si>
    <t xml:space="preserve"> Þ 125 x 25,1mm</t>
  </si>
  <si>
    <t xml:space="preserve"> Þ 140 x 28,1mm</t>
  </si>
  <si>
    <t xml:space="preserve"> Þ 160 x 32,1mm</t>
  </si>
  <si>
    <t>XIX</t>
  </si>
  <si>
    <t>BỒN NƯỚC CÁC LOẠI:</t>
  </si>
  <si>
    <t xml:space="preserve"> * Bồn Inox Đại Sơn (kể cả chân bồn): Cty TNHH Thuận Phát Long Xuyên - Theo bảng giá ngày 06/5/2015</t>
  </si>
  <si>
    <t>Loại 1000 lít (bồn đứng) Inox dày 0,5mm</t>
  </si>
  <si>
    <t>Loại 1500 lít (bồn đứng) Inox dày 0,5mm</t>
  </si>
  <si>
    <t>Loại 2000 lít (bồn đứng) Inox dày 0,5mm</t>
  </si>
  <si>
    <t xml:space="preserve"> * Bồn Inox HWATA VINA: giao hàng tại Cty TNHH TM Hiển Nga - Tổng đại lý phân phối tại AG . Theo bảng giá ngày 22/5/2014</t>
  </si>
  <si>
    <t>Loại 1000 lít (bồn đứng) Inox dày 0,6mm</t>
  </si>
  <si>
    <t>Loại 1500 lít (bồn đứng)  Inox dày 0,7mm</t>
  </si>
  <si>
    <t>Loại 2000 lít (bồn đứng)  Inox dày 0,9mm</t>
  </si>
  <si>
    <t>Loại 3000 lít (bồn đứng) Inox dày 0,9mm</t>
  </si>
  <si>
    <t>Loại 4000 lít (bồn đứng) Inox dày 0,9mm</t>
  </si>
  <si>
    <t>Loại 5000 lít (bồn đứng) Inox dày 0,9mm</t>
  </si>
  <si>
    <t>Loại 1000 lít (bồn nằm) Inox dày 0,6mm</t>
  </si>
  <si>
    <t>Loại 1500 lít (bồn nằm)  Inox dày 0,7mm</t>
  </si>
  <si>
    <t>Loại 2000 lít (bồn nằm)  Inox dày 0,9mm</t>
  </si>
  <si>
    <t>XX</t>
  </si>
  <si>
    <t xml:space="preserve">CÁC LOẠI VẬT TƯ ĐIỆN </t>
  </si>
  <si>
    <t>Boulon 22x500 (thân to) 2ĐR Mạ nhúng</t>
  </si>
  <si>
    <t>Boulon 22x650 (thân to) 2ĐR Mạ nhúng</t>
  </si>
  <si>
    <t>Boulon 22x500 (thân ốm) VRS</t>
  </si>
  <si>
    <t>Boulon 22x650 (thân ốm) VRS</t>
  </si>
  <si>
    <t>Boulon 22x450 (thân to) VRS</t>
  </si>
  <si>
    <t>Boulon 16x300 VRS  Nhúng Zn</t>
  </si>
  <si>
    <t>Boulon 16x300  Nhúng Zn</t>
  </si>
  <si>
    <t>Boulon 16x350  Nhúng Zn</t>
  </si>
  <si>
    <t>LB FCO 15/27kv - 200A (ABB - USA)</t>
  </si>
  <si>
    <t>FCO 15/27 kv - 100A (ABB - USA)</t>
  </si>
  <si>
    <t>Dây chảy từ 25 -30K (rise Sun -Đài Loan)</t>
  </si>
  <si>
    <t>Sứ chuỗi Polimer 25KV  HQ</t>
  </si>
  <si>
    <t>đ/chuỗi</t>
  </si>
  <si>
    <t>LA 18KV - 10KA - polimer (GE-US)+kn</t>
  </si>
  <si>
    <t>Rack 1 - 3mm</t>
  </si>
  <si>
    <t>Rack 2 - 3mm</t>
  </si>
  <si>
    <t>Rack 3 - 3mm</t>
  </si>
  <si>
    <t>Rack 4 - 3mm</t>
  </si>
  <si>
    <t>Sứ ống chỉ (Minh Long)</t>
  </si>
  <si>
    <t>Sứ  chằng</t>
  </si>
  <si>
    <t>Sứ đứng + ty không bọc chì (Minh Long)</t>
  </si>
  <si>
    <t>Chân sứ đỉnh cong dài 870 RC</t>
  </si>
  <si>
    <t>Chân sứ đỉnh thẳng dài 870 RC</t>
  </si>
  <si>
    <t>Giá treo MBT 1 pha 50 KVA</t>
  </si>
  <si>
    <t>Giá treo MBT 3 pha 50 KVA</t>
  </si>
  <si>
    <t>Codê fi 21 kẹp ống PVC</t>
  </si>
  <si>
    <t>Codê fi 34 kẹp ống PVC</t>
  </si>
  <si>
    <t>Codê fi 114 kẹp ống PVC</t>
  </si>
  <si>
    <t>Ốc xiết cáp 38mm2 (không chêm)</t>
  </si>
  <si>
    <t>Ốc xiết cáp 2/0</t>
  </si>
  <si>
    <t>Kẹp đồng chẽ 22mm2</t>
  </si>
  <si>
    <t>Cosse ép Cu  50mm2</t>
  </si>
  <si>
    <t>Cosse ép Cu 70mm2</t>
  </si>
  <si>
    <t>Cosse ép Cu 22mm2</t>
  </si>
  <si>
    <t>Cosse ép Cu 38mm2</t>
  </si>
  <si>
    <t>Ống nối dây AC 50 có lõi thép</t>
  </si>
  <si>
    <t xml:space="preserve">đ/ống </t>
  </si>
  <si>
    <t>Ống nối dây AC 70 có lõi thép</t>
  </si>
  <si>
    <t>Ống nối dây AC 120 có lõi thép</t>
  </si>
  <si>
    <t>Ống nối dây AC 240 có lõi thép</t>
  </si>
  <si>
    <t>Ống nối dây AC 120 không lõi thép</t>
  </si>
  <si>
    <t>Ống nối dây AC 240 không lõi thép</t>
  </si>
  <si>
    <t>Kẹp nhôm AC 50-70</t>
  </si>
  <si>
    <t xml:space="preserve">Kẹp nhôm AC 95 </t>
  </si>
  <si>
    <t>Kẹp quai 2/0</t>
  </si>
  <si>
    <t>Kẹp quai 4/0</t>
  </si>
  <si>
    <t>Kẹp quai 2/0 có ty</t>
  </si>
  <si>
    <t>Kẹp hotline 2/0</t>
  </si>
  <si>
    <t>Kẹp hotline 4/0</t>
  </si>
  <si>
    <t>Splitbolt Cu250mm2</t>
  </si>
  <si>
    <t>Kẹp đồng nhôm (SL1)</t>
  </si>
  <si>
    <t>Kẹp đồng nhôm (SL2)</t>
  </si>
  <si>
    <t>Kẹp đồng nhôm (SL3)</t>
  </si>
  <si>
    <t>Kẹp ngừng 3U-3mm (50-70mm)</t>
  </si>
  <si>
    <t>Móc treo chữ U fi 16</t>
  </si>
  <si>
    <t>Ống sắt tráng kẽm fi 21 Mạ nhúng-3m</t>
  </si>
  <si>
    <t>Kẹp chằng 3 boulon (B46) Nhúng Zn</t>
  </si>
  <si>
    <t>Bộ chằng lệch fi 60 (ống 1,2m) Nhúng Zn</t>
  </si>
  <si>
    <t>Bộ chằng lệch fi 60 (ống 1,5m) Nhúng Zn</t>
  </si>
  <si>
    <t>Cáp thép chằng 3/8" Nhúng Zn</t>
  </si>
  <si>
    <t>Máng che dây chằng (sơn vàng) Nhúng Zn</t>
  </si>
  <si>
    <t>Yếm cáp Nhúng Zn</t>
  </si>
  <si>
    <t>Cọc tiếp địa 16 x2400 mạ Cu</t>
  </si>
  <si>
    <t>Kẹp cọc tiếp địa cu</t>
  </si>
  <si>
    <t>Xà V75 x75 x6x2000-(2 ốp) Mạ nhúng</t>
  </si>
  <si>
    <t>Xà V75 x75 x6x2000-(3 ốp) Mạ nhúng</t>
  </si>
  <si>
    <t>Xà V75 x75 x6x2400-(4 ốp) Mạ nhúng</t>
  </si>
  <si>
    <t>Xà V75 x75 x8x2400-(4 ốp) Mạ nhúng</t>
  </si>
  <si>
    <t xml:space="preserve">Chống V50 x50x5x2100 </t>
  </si>
  <si>
    <t xml:space="preserve">Chống PLATE 5x50x920 </t>
  </si>
  <si>
    <t>Chống PLATE 6x60x920</t>
  </si>
  <si>
    <t>Giá U 80x600 bắt FCO và LA</t>
  </si>
  <si>
    <t>Đà U 100 - 800</t>
  </si>
  <si>
    <t>Đà U 100 - 1000</t>
  </si>
  <si>
    <t>Đà U 100 - 1130</t>
  </si>
  <si>
    <t>Đà U 160 - 1000</t>
  </si>
  <si>
    <t>Đà U 160 - 3000</t>
  </si>
  <si>
    <t>CB 3P - 600V-75A  (LG)</t>
  </si>
  <si>
    <t>CB 3P - 600V-125A  (LG)</t>
  </si>
  <si>
    <t>Ty neo fi 16 x 2400</t>
  </si>
  <si>
    <t>Ty neo fi 22 x 2400</t>
  </si>
  <si>
    <t>Ty neo fi 22 x 3000</t>
  </si>
  <si>
    <t>Lông đền vuông 18(50x50x2,5)</t>
  </si>
  <si>
    <t>Lông đền vuông 24 -80x80x5</t>
  </si>
  <si>
    <t>Dây dẫn</t>
  </si>
  <si>
    <t>Dây nhôm trần lõi thép As, ACKP&lt;=50mm2</t>
  </si>
  <si>
    <t>Dây nhôm trần lõi thép As, ACKP&gt;50mm2-95mm2</t>
  </si>
  <si>
    <t>Dây nhôm bọc AV -50-750V(19/1.8)</t>
  </si>
  <si>
    <t>Dây nhôm bọc AV -70-750V (19/2.4)</t>
  </si>
  <si>
    <t>Dây đồng bọc 24kv -M25mm2</t>
  </si>
  <si>
    <t>Dây đồng bọc CV - 25-750V (0,6/kv)</t>
  </si>
  <si>
    <t>Dây đồng bọc CV - 38-750V (19/1.8)</t>
  </si>
  <si>
    <t>Dây đồng bọc CV - 50-750V (19/1.8)</t>
  </si>
  <si>
    <t>Dây đồng bọc CV - 70-750V (19/2.14)</t>
  </si>
  <si>
    <t>Dây đồng bọc CV - 120-750V (19/2.14)</t>
  </si>
  <si>
    <t>Dây đồng bọc CV - 150-750V (19/2.6)</t>
  </si>
  <si>
    <t>Dây đồng bọc CV - 240-750V (61/2.25)</t>
  </si>
  <si>
    <t>Dây đồng mềm CVV 8x2,5 mm</t>
  </si>
  <si>
    <t>Dây đồng mềm CVV 4x2,5 mm</t>
  </si>
  <si>
    <t>Cáp đồng trần C-&gt;11 đến 38mm2</t>
  </si>
  <si>
    <t xml:space="preserve"> * DÂY VÀ CÁP ĐIỆN DAPHACO : Cty TNHH Cơ điện lạnh và Xây dựng An Phát (giao hàng tại kho Cty An Phát). Theo bảng giá ngày 22/02/2016</t>
  </si>
  <si>
    <t>Dây điện đơn 12/10</t>
  </si>
  <si>
    <t>Dây điện đơn 16/10</t>
  </si>
  <si>
    <t>Dây điện đơn 20/10</t>
  </si>
  <si>
    <t>Dây điện đơn 30/10</t>
  </si>
  <si>
    <t>Dây điện đôi 2x16</t>
  </si>
  <si>
    <t>Dây điện đôi 2x24</t>
  </si>
  <si>
    <t>Dây điện đôi 2x32</t>
  </si>
  <si>
    <t>Dây điện đôi 2x30</t>
  </si>
  <si>
    <t xml:space="preserve">Cáp CV 1.0    </t>
  </si>
  <si>
    <t>Cáp CV 1.5</t>
  </si>
  <si>
    <t>Cáp CV 2.0</t>
  </si>
  <si>
    <t>Cáp CV 2.5</t>
  </si>
  <si>
    <t>Cáp CV 3.0</t>
  </si>
  <si>
    <t>Cáp CV 4.0</t>
  </si>
  <si>
    <t>Cáp CV 5.0</t>
  </si>
  <si>
    <t>Cáp CV 6.0</t>
  </si>
  <si>
    <t xml:space="preserve"> * DÂY VÀ CÁP ĐIỆN CADI-SUN : Chi nhánh Cty CP Dây và Cáp điện Thượng Đình (số 6, lô K, đường Hoàng Quốc Việt, P .Phú Mỹ, Q.7, Tp.HCM), giá giao tại kho chi nhánh, không bao gồm phí vận chuyển. Theo bảng giá ngày 01/01/2015</t>
  </si>
  <si>
    <t>Cáp đồng đơn bọc cách điện PVC CV 1x1</t>
  </si>
  <si>
    <t>Cáp đồng đơn bọc cách điện PVC CV 1x2</t>
  </si>
  <si>
    <t>Cáp đồng đơn bọc cách điện PVC CV 1x3</t>
  </si>
  <si>
    <t>Cáp đồng đơn bọc cách điện PVC CV 1x4</t>
  </si>
  <si>
    <t>Cáp đồng đơn bọc cách điện PVC CV 1x5</t>
  </si>
  <si>
    <t>Cáp nhôm trần lõi thép As 50/8.0, 7 sợi, đk 3.20mm</t>
  </si>
  <si>
    <t>Cáp nhôm trần lõi thép As 70/11, 7 sợi, đk 3.8mm</t>
  </si>
  <si>
    <t>Cáp nhôm trần lõi thép As 95/16, 7 sợi, đk 4.5mm</t>
  </si>
  <si>
    <t>Cáp nhôm trần lõi thép As 120/19 (thép 7 sợi, đ.k 1.85mm; nhôm 26 sợi, đ.k 2.4mm)</t>
  </si>
  <si>
    <t>Cáp nhôm trần lõi thép As 120/27 (thép 7 sợi, đ.k 2.2mm; nhôm 30 sợi, đ.k 2.2mm)</t>
  </si>
  <si>
    <t>Cáp nhôm trần lõi thép As 185/24 (thép 7 sợi, đ.k 2.1mm; nhôm 24 sợi, đ.k 3.15mm)</t>
  </si>
  <si>
    <t>Cáp nhôm đơn bọc cách điện PVC AV 50, 7 sợi, đk 3.00mm</t>
  </si>
  <si>
    <t>Cáp nhôm đơn bọc cách điện PVC AV 70, 7 sợi, đk 3.55mm</t>
  </si>
  <si>
    <t>Cáp nhôm đơn bọc cách điện PVC AV 120, 19 sợi, đk 2.8mm</t>
  </si>
  <si>
    <t>Cáp nhôm lõi thép bọc cách điện PVC AsV 50/8.0, 7 sợi, đk 3.2mm</t>
  </si>
  <si>
    <t>Cáp nhôm lõi thép bọc cách điện PVC AsV 70/11, 7 sợi, đk 3.8mm</t>
  </si>
  <si>
    <t>Cáp nhôm lõi thép bọc cách điện PVC AsV 120/19 (thép 7 sợi, đk 1.85mm; nhôm 26 sợi, đk 2.4mm)</t>
  </si>
  <si>
    <t>Cáp nhôm bện vặn xoắn 2 ruột ABC 2x25, 7 sợi, đk 2.16mm</t>
  </si>
  <si>
    <t>Cáp nhôm bện vặn xoắn 2 ruột ABC 2x35, 7 sợi, đk 2.53mm</t>
  </si>
  <si>
    <t>Cáp nhôm bện vặn xoắn 2 ruột ABC 2x50, 7 sợi, đk 2.99mm</t>
  </si>
  <si>
    <t>Cáp nhôm bện vặn xoắn 2 ruột ABC 2x70, 19 sợi, đk 2.16mm</t>
  </si>
  <si>
    <t>Cáp nhôm bện vặn xoắn 4 ruột ABC 4x50, 7 sợi, đk 2.99mm</t>
  </si>
  <si>
    <t>Cáp nhôm bện vặn xoắn 4 ruột ABC 4x95, 19 sợi, đk 2.53mm</t>
  </si>
  <si>
    <t>* ĐÈN SIÊU TIẾT KIỆM ĐIỆN T5 - GREENLIGHT (gồm: máng+ bóng T5+ tăng phô điện tử) - Cty TNHH Cơ điện lạnh và Xây dựng An Phát (giao hàng tại kho Cty An Phát). Theo bảng giá ngày 22/02/2016</t>
  </si>
  <si>
    <t xml:space="preserve">Máng đèn néon đơn 0,6m - 1 x 14W </t>
  </si>
  <si>
    <t xml:space="preserve">Máng đèn néon đôi 0,6m - 2 x 14W </t>
  </si>
  <si>
    <t xml:space="preserve">Máng đèn néon đơn 1,2m - 1 x 28W </t>
  </si>
  <si>
    <t xml:space="preserve">Máng đèn néon đôi 1,2m - 2 x 28W </t>
  </si>
  <si>
    <t xml:space="preserve"> * BÓNG ĐÈN HUỲNH QUANG TIẾT KIỆM ĐIỆN T5 : Cty TNHH Cơ điện lạnh và Xây dựng An Phát (giao hàng tại kho Cty An Phát). Theo bảng giá ngày 22/02/2016</t>
  </si>
  <si>
    <t>Bóng đèn màu trắng &amp; màu vàng 0,6m</t>
  </si>
  <si>
    <t>đ/bóng</t>
  </si>
  <si>
    <t>Bóng đèn màu trắng &amp; màu vàng 1,2m</t>
  </si>
  <si>
    <t xml:space="preserve">Bóng đèn màu xanh &amp; màu đỏ 1,2m </t>
  </si>
  <si>
    <t xml:space="preserve"> * THIẾT BỊ ĐIỆN PANASONIC: Cty TNHH Cơ điện lạnh và Xây dựng An Phát (giao hàng tại Cty). Theo bảng giá ngày 21/4/2016</t>
  </si>
  <si>
    <t>Công tắc đơn WNG50017 (1 way)</t>
  </si>
  <si>
    <t>Công tắc đôi WEV5002</t>
  </si>
  <si>
    <t>Công tắc E WEG5004K (4 way)</t>
  </si>
  <si>
    <t>Ổ cắm đơn có màn che WEV1081</t>
  </si>
  <si>
    <t>Ổ cắm anten TV WEG2501</t>
  </si>
  <si>
    <t>Ổ cắm điện thoại 4 cực WEG2364</t>
  </si>
  <si>
    <t>Cầu dao tự động MCB 01P 10A, 16A, 20A</t>
  </si>
  <si>
    <t>Cầu dao tự động MCB 02P 10A, 16A, 20A</t>
  </si>
  <si>
    <t>Cầu dao tự động MCB 03P 10A, 16A, 20A</t>
  </si>
  <si>
    <t>Cầu dao tự động MCB 04P 10A, 16A, 20A</t>
  </si>
  <si>
    <t xml:space="preserve"> * Cửa hàng điện Lê Văn Tôn (179, Lý Thái Tổ, P.Mỹ Long, Tp.LX, AG), giá bán tại của hàng. Theo bảng giá ngày 01/7/2014</t>
  </si>
  <si>
    <r>
      <t xml:space="preserve">Ống luồn dây </t>
    </r>
    <r>
      <rPr>
        <sz val="10.5"/>
        <rFont val="Calibri"/>
        <family val="2"/>
      </rPr>
      <t>Φ 16, loại 1, cuộn 50m</t>
    </r>
  </si>
  <si>
    <r>
      <t xml:space="preserve">Ống luồn dây </t>
    </r>
    <r>
      <rPr>
        <sz val="10.5"/>
        <rFont val="Calibri"/>
        <family val="2"/>
      </rPr>
      <t>Φ 20, loại 1, cuộn 50m</t>
    </r>
  </si>
  <si>
    <r>
      <t xml:space="preserve">Ống luồn dây </t>
    </r>
    <r>
      <rPr>
        <sz val="10.5"/>
        <rFont val="Calibri"/>
        <family val="2"/>
      </rPr>
      <t>Φ 25, loại 1, cuộn 50m</t>
    </r>
  </si>
  <si>
    <r>
      <t xml:space="preserve">Ống luồn dây </t>
    </r>
    <r>
      <rPr>
        <sz val="10.5"/>
        <rFont val="Calibri"/>
        <family val="2"/>
      </rPr>
      <t>Φ 32, loại 1, cuộn 50m</t>
    </r>
  </si>
  <si>
    <r>
      <t xml:space="preserve">Ống luồn dây </t>
    </r>
    <r>
      <rPr>
        <sz val="10.5"/>
        <rFont val="Calibri"/>
        <family val="2"/>
      </rPr>
      <t>Φ 16, loại 2, cuộn 50m</t>
    </r>
  </si>
  <si>
    <r>
      <t xml:space="preserve">Ống luồn dây </t>
    </r>
    <r>
      <rPr>
        <sz val="10.5"/>
        <rFont val="Calibri"/>
        <family val="2"/>
      </rPr>
      <t>Φ 20, loại 2, cuộn 50m</t>
    </r>
  </si>
  <si>
    <r>
      <t xml:space="preserve">Ống luồn dây </t>
    </r>
    <r>
      <rPr>
        <sz val="10.5"/>
        <rFont val="Calibri"/>
        <family val="2"/>
      </rPr>
      <t>Φ 25, loại 2, cuộn 50m</t>
    </r>
  </si>
  <si>
    <r>
      <t xml:space="preserve">Ống luồn dây </t>
    </r>
    <r>
      <rPr>
        <sz val="10.5"/>
        <rFont val="Calibri"/>
        <family val="2"/>
      </rPr>
      <t>Φ 32, loại 2, cuộn 50m</t>
    </r>
  </si>
  <si>
    <t>Công tắc Panasonic</t>
  </si>
  <si>
    <t>Công tắc Thái Lan</t>
  </si>
  <si>
    <t>Ổ cắm 1 cặp lổ cắm</t>
  </si>
  <si>
    <t>Ổ cắm 2 cặp lổ cắm</t>
  </si>
  <si>
    <t>Ổ cắm 3 cặp lổ cắm</t>
  </si>
  <si>
    <t xml:space="preserve"> * DÂY CÁP ĐIỆN CADIVI: Cty CP Dây cáp điện Việt Nam (số 70-72 Nam Kỳ Khởi Nghĩa, Q.1, Tp.HCM). Theo bảng giá ngày 14/12/2015</t>
  </si>
  <si>
    <t>VC-1.5 (Φ 1.38 - 450/750V</t>
  </si>
  <si>
    <t>VC-2.5 (Φ 1.77) - 450/750V</t>
  </si>
  <si>
    <t>VCm-1.5 -(1x30/0.25) -450/750V</t>
  </si>
  <si>
    <t>VCm-2.5 -(1x50/0.25) -450/750V</t>
  </si>
  <si>
    <t>CV-1.5 (7/0.52) -450/750V</t>
  </si>
  <si>
    <t>CV-2.5 (7/0.67) -450/750V</t>
  </si>
  <si>
    <t>CV-4 (7/0.85) -450/750V</t>
  </si>
  <si>
    <t>CV-6 (7/1.04) -450/750V</t>
  </si>
  <si>
    <t>CV-10 (7/1.35) -450/750V</t>
  </si>
  <si>
    <t>CV-16 - 750V</t>
  </si>
  <si>
    <t>CV-25 - 750V</t>
  </si>
  <si>
    <t>CV-50 - 750V</t>
  </si>
  <si>
    <t>Dây nhôm lõi thép các loại &lt;= 50mm2</t>
  </si>
  <si>
    <t>Dây nhôm lõi thép các loại &gt;50 đến = 95mm2</t>
  </si>
  <si>
    <t>Dây nhôm lõi thép các loại &gt;95 đến = 240mm2</t>
  </si>
  <si>
    <t>XXI</t>
  </si>
  <si>
    <t>CỬA VÀ KÍNH CÁC LOẠI :</t>
  </si>
  <si>
    <t>*Cty TNHH XD và DV TILA (đại lý tại số 147/5, Trần Hưng Đạo, P.Mỹ Phước - Tp.LX). Giá trên đã bao gồm chi phí vận chuyển và lắp đặt trong nội ô Tp.Long Xuyên .Theo bảng giá ngày 02/05/2016</t>
  </si>
  <si>
    <t>- Sản phẩm nhựa TILA Window  (Thanh profile của zhongcai, phụ kiện GU, GQ, kính trắng 5mm)</t>
  </si>
  <si>
    <t>Vách kính, kích thước 1,0mx1,0m (kính trắng 5mm)</t>
  </si>
  <si>
    <t>Cửa sổ lùa 2 cánh, kích thước 1,4mx1,4m (gồm khóa bán nguyệt, bánh xe)</t>
  </si>
  <si>
    <t>Cửa sổ 2 cánh mở quay ra ngoài, kích thước 1,4mx1,4m (gồm khóa đa điểm, bản lề chữ A)</t>
  </si>
  <si>
    <t>Cửa sổ 1 cánh mở hất ra ngoài, kích thước 0,6mx1,4m (gồm khóa đa điểm, bản lề chữ A)</t>
  </si>
  <si>
    <t>Cửa đi thông phòng/b.công 1 cánh, kích thước 0,9mx2,2m (gồm khóa đơn điểm, bản lề 3D)</t>
  </si>
  <si>
    <t>Cửa đi chính 2 cánh mở quay, kích thước 1,4mx2,2m (gồm khóa đa điểm, bản lề 3D)</t>
  </si>
  <si>
    <t>Cửa đi lùa 2 cánh, kích thước 1,6mx2,2m (gồm khóa đa điểm, bánh xe đôi)</t>
  </si>
  <si>
    <t>- Nhôm YNGHUA sơn tĩnh điện trắng sữa (gồm kính trắng 5mm)</t>
  </si>
  <si>
    <t>Vách kính</t>
  </si>
  <si>
    <t>Cửa đi chính 1 cánh mở quay, trên kính dưới lamri hệ 700 (gồm bản lề inox 304)</t>
  </si>
  <si>
    <t>Cửa đi chính 1 cánh mở quay, trên kính dưới lamri hệ 1000 (gồm lề sơn góc sơn tĩnh điện)</t>
  </si>
  <si>
    <t>*Cty TNHH Cơ khí Xây dựng Nguyên Long (635A/32 Thái Phiên, P.Bình Khánh - Tp.LX), giá cửa sắt chưa bao gồm phí vận chuyển và lắp đặt. Theo bảng giá ngày 18/01/2016</t>
  </si>
  <si>
    <t xml:space="preserve"> Cửa giả gỗ loại thường</t>
  </si>
  <si>
    <t xml:space="preserve"> Cửa giả gỗ có bông</t>
  </si>
  <si>
    <t xml:space="preserve"> Khung cửa thường trơn</t>
  </si>
  <si>
    <t xml:space="preserve"> Cửa đi sắt kéo không lá</t>
  </si>
  <si>
    <t xml:space="preserve"> Cửa đi sắt kéo có lá</t>
  </si>
  <si>
    <t xml:space="preserve"> Cửa đi có khuôn bông (không kính)</t>
  </si>
  <si>
    <t xml:space="preserve"> Cửa sổ có khuôn bông (không kính)</t>
  </si>
  <si>
    <t xml:space="preserve"> Cửa sổ nhôm lùa hệ 500</t>
  </si>
  <si>
    <t xml:space="preserve"> Cửa sổ nhôm lùa hệ 700</t>
  </si>
  <si>
    <t xml:space="preserve"> Cửa sổ bật kính 5 ly</t>
  </si>
  <si>
    <t xml:space="preserve"> Cửa đi kính 5 ly hệ 700</t>
  </si>
  <si>
    <t xml:space="preserve"> Cửa đi kính 5 ly hệ 1000</t>
  </si>
  <si>
    <t xml:space="preserve"> Cửa nhôm cuốn sơn tĩnh điện dày 6zem mạ Inox (bao gồm lắp đặt)</t>
  </si>
  <si>
    <t xml:space="preserve"> Cửa nhôm cuốn sơn tĩnh điện dày 8zem mạ Inox (bao gồm lắp đặt)</t>
  </si>
  <si>
    <t xml:space="preserve">  - Kính 5 ly các loại (bao gồm nhân công lắp đặt)</t>
  </si>
  <si>
    <t>Kính màu trắng</t>
  </si>
  <si>
    <t>Kính màu trà, màu xanh, màu khói</t>
  </si>
  <si>
    <t>* Cửa nhựa uPVC cao cấp Dongtamwindow : Cty TNHH TM Hiển Nga - Tổng đại lý phân phối tại An Giang (bao gồm kính, chi phí vận chuyển &amp; lắp đặt). Theo bảng giá tháng 01/10/2015.</t>
  </si>
  <si>
    <t>Dòng ASIA - STANDARD (Thanh Profile UPVC, phụ kiện kim khí GQ)</t>
  </si>
  <si>
    <t xml:space="preserve"> - Vách kính (1000x2000)</t>
  </si>
  <si>
    <t>- Cửa sổ 1 cánh mở quay ra ngoài (700x1400)</t>
  </si>
  <si>
    <t>- Cửa sổ 1 cánh mở hất ra ngoài (700x1400)</t>
  </si>
  <si>
    <t>- Cửa sổ 2 cánh lùa (1600x1800)</t>
  </si>
  <si>
    <t>- Cửa đi 1 cánh mở quay ra ngoài (900x2400), chia đố ngang, trên kính dưới pano</t>
  </si>
  <si>
    <t>- Cửa đi 2 cánh mở quay ra ngoài (1800x2300), chia đố ngang</t>
  </si>
  <si>
    <t>- Cửa đi 2 cánh mở lùa (2000x2400)</t>
  </si>
  <si>
    <t>- Cửa đi 4 cánh (3600x2400), 2 lùa + 2 cố định</t>
  </si>
  <si>
    <t>XXII</t>
  </si>
  <si>
    <t>CẦU THÉP CÁC LOẠI:</t>
  </si>
  <si>
    <t>* Cầu thép nông thôn: Cty Cổ phần Cơ khí An Giang sản xuất (giao hàng tại Cty trên phương tiện bên mua). Theo bảng giá ngày 01/3/2016</t>
  </si>
  <si>
    <t>Cầu thép NT 1.6 K, bề rộng mặt cầu 1,5m, tải trọng xe đơn 1,2 tấn</t>
  </si>
  <si>
    <t xml:space="preserve"> - Sơn bảo vệ bề mặt (trọng lượng 200kg/mét dài)</t>
  </si>
  <si>
    <t>đ/mdài</t>
  </si>
  <si>
    <t xml:space="preserve"> - Mạ kẽm bảo vệ bề mặt (trọng lượng 200kg/mét dài)</t>
  </si>
  <si>
    <t>Cầu thép NT 1.6 M, bề rộng mặt cầu 1,5m, tải trọng xe đơn 1,2 tấn</t>
  </si>
  <si>
    <t xml:space="preserve"> - Sơn bảo vệ bề mặt (trọng lượng 250kg/mét dài)</t>
  </si>
  <si>
    <t xml:space="preserve"> - Mạ kẽm bảo vệ bề mặt (trọng lượng 250kg/mét dài)</t>
  </si>
  <si>
    <t>Cầu thép NT 2.2 N bề rộng mặt cầu 2,0m, tải trọng xe đơn 2,8 tấn</t>
  </si>
  <si>
    <t xml:space="preserve"> - Sơn bảo vệ bề mặt (trọng lượng 205kg/mét dài)</t>
  </si>
  <si>
    <t xml:space="preserve"> - Mạ kẽm bảo vệ bề mặt (trọng lượng 205kg/mét dài)</t>
  </si>
  <si>
    <t>Cầu thép NT 2.2 K bề rộng mặt cầu 2,0m, tải trọng xe đơn 2,8 tấn</t>
  </si>
  <si>
    <t xml:space="preserve"> - Sơn bảo vệ bề mặt (trọng lượng 245kg/mét dài)</t>
  </si>
  <si>
    <t xml:space="preserve"> - Mạ kẽm bảo vệ bề mặt (trọng lượng 245kg/mét dài)</t>
  </si>
  <si>
    <t>Cầu thép NT 2.2 M bề rộng mặt cầu 2,0m, chiều dài tối đa 30m, tải trọng xe đơn 2,8 tấn</t>
  </si>
  <si>
    <t xml:space="preserve"> - Sơn bảo vệ bề mặt (trọng lượng 289kg/mét dài)</t>
  </si>
  <si>
    <t xml:space="preserve"> - Mạ kẽm bảo vệ bề mặt (trọng lượng 289kg/mét dài)</t>
  </si>
  <si>
    <t>* Cầu thép NT 2.6 K bề rộng mặt cầu 2,5m, tải trọng xe đơn 5 tấn; đoàn xe thô sơ H2.8</t>
  </si>
  <si>
    <t xml:space="preserve"> - Sơn bảo vệ bề mặt  (trọng lượng 332kg/mét dài)</t>
  </si>
  <si>
    <t xml:space="preserve"> - Mạ kẽm bảo vệ bề mặt (trọng lượng 332kg/mét dài)</t>
  </si>
  <si>
    <t>Cầu thép NT 2.6 M bề rộng mặt cầu 2,5m, tải trọng xe đơn 5 tấn; đoàn xe thô sơ H2.8</t>
  </si>
  <si>
    <t xml:space="preserve"> - Sơn bảo vệ bề mặt (trọng lượng 370kg/mét dài)</t>
  </si>
  <si>
    <t xml:space="preserve"> - Mạ kẽm bảo vệ bề mặt (trọng lượng 370kg/mét dài)</t>
  </si>
  <si>
    <t>Cầu thép NT 3.2 K bề rộng mặt cầu 3,0m, tải trọng xe đơn 5 tấn</t>
  </si>
  <si>
    <t xml:space="preserve"> - Sơn bảo vệ bề mặt (trọng lượng 420kg/mét dài)</t>
  </si>
  <si>
    <t xml:space="preserve"> - Mạ kẽm bảo vệ bề mặt (trọng lượng 420kg/mét dài)</t>
  </si>
  <si>
    <t>Cầu thép NT 3.2 M bề rộng mặt cầu 3,0m, tải trọng xe đơn 5 tấn</t>
  </si>
  <si>
    <t xml:space="preserve"> - Sơn bảo vệ bề mặt (trọng lượng 431kg/mét dài)</t>
  </si>
  <si>
    <t xml:space="preserve"> - Mạ kẽm bảo vệ bề mặt (trọng lượng 431kg/mét dài)</t>
  </si>
  <si>
    <t>Cầu thép NT 3.2 MK bề rộng mặt cầu 3,0m; tải trọng xe đơn 5 tấn; đoàn xe thô sơ H2.8</t>
  </si>
  <si>
    <t xml:space="preserve"> - Sơn bảo vệ bề mặt (trọng lượng 705kg/mét dài)</t>
  </si>
  <si>
    <t xml:space="preserve"> - Mạ kẽm bảo vệ bề mặt (trọng lượng 705kg/mét dài)</t>
  </si>
  <si>
    <t>Cầu thép NT 3.6 MK bề rộng mặt cầu 3,5m; tải trọng xe đơn 5 tấn; đoàn xe thô sơ H2.8</t>
  </si>
  <si>
    <t xml:space="preserve"> - Sơn bảo vệ bề mặt (trọng lượng 765kg/mét dài)</t>
  </si>
  <si>
    <t xml:space="preserve"> - Mạ kẽm bảo vệ bề mặt (trọng lượng 765kg/mét dài)</t>
  </si>
  <si>
    <t>Cầu thép NT 4.2 MK bề rộng mặt cầu 4,0m; tải trọng xe đơn 5 tấn; đoàn xe thô sơ H2.8</t>
  </si>
  <si>
    <t xml:space="preserve"> - Sơn bảo vệ bề mặt (trọng lượng 860kg/mét dài)</t>
  </si>
  <si>
    <t xml:space="preserve"> - Mạ kẽm bảo vệ bề mặt (trọng lượng 860kg/mét dài)</t>
  </si>
  <si>
    <t xml:space="preserve">Cầu thép NT 2.6 - Mạ kẽm, bề rộng mặt cầu 2,5m: </t>
  </si>
  <si>
    <t>NT 2.6 H -8 1/1 (trọng lượng 622kg/mét dài)</t>
  </si>
  <si>
    <t>NT 2.6 HB -8 1/1 (trọng lượng 705kg/mét dài)</t>
  </si>
  <si>
    <t>NT 2.6 HB 2/1 (trọng lượng 1.169g/mét dài)</t>
  </si>
  <si>
    <t xml:space="preserve">Cầu thép NT 3.2 - Mạ kẽm, bề rộng mặt cầu 3,0m: </t>
  </si>
  <si>
    <t>NT 3.2 A -5 1/1 (trọng lượng 616kg/mét dài)</t>
  </si>
  <si>
    <t>NT 3.2 HA -5 1/1 (trọng lượng 720kg/mét dài)</t>
  </si>
  <si>
    <t>NT 3.2 HB -5 1/1 (trọng lượng 770kg/mét dài)</t>
  </si>
  <si>
    <t>NT 3.2 H  -8 1/1 (trọng lượng 716kg/mét dài)</t>
  </si>
  <si>
    <t>NT 3.2 HB -8 1/1 (trọng lượng 852kg/mét dài)</t>
  </si>
  <si>
    <t>NT 3.2 A -8  2/1 (trọng lượng 915kg/mét dài)</t>
  </si>
  <si>
    <t>NT 3.2 HB -8 2/1 (trọng lượng 1.229kg/mét dài)</t>
  </si>
  <si>
    <t xml:space="preserve">Cầu thép NT 4.2 - Mạ kẽm, bề rộng mặt cầu 4,0m: </t>
  </si>
  <si>
    <t>NT 4.2 H -5 1/1 (trọng lượng 807kg/mét dài)</t>
  </si>
  <si>
    <t>NT 4.2 HB -5 1/1 (trọng lượng 891kg/mét dài)</t>
  </si>
  <si>
    <t>NT 4.2 B -8 1/1 (trọng lượng 713kg/mét dài)</t>
  </si>
  <si>
    <t>NT 4.2 A -8 1/1 (trọng lượng 766kg/mét dài)</t>
  </si>
  <si>
    <t>NT 4.2 H -8 1/1 (trọng lượng 838kg/mét dài)</t>
  </si>
  <si>
    <t>NT 4.2 HA -8 1/1 (trọng lượng 922kg/mét dài)</t>
  </si>
  <si>
    <t xml:space="preserve">Đoạn nối nhịp; Đoạn sàn đầu cầu : </t>
  </si>
  <si>
    <t>Cầu NT 1.6  loại K, M mạ kẽm</t>
  </si>
  <si>
    <t>01 Đoạn nối nhịp (trọng lượng 15,5kg/mét dài)</t>
  </si>
  <si>
    <t>đ/đoạn</t>
  </si>
  <si>
    <t>01 Đoạn sàn đầu cầu (trọng lượng 146,5kg/mét dài)</t>
  </si>
  <si>
    <t>Cầu NT 2.2  loại N, K, M mạ kẽm</t>
  </si>
  <si>
    <t>01 Đoạn nối nhịp (trọng lượng 20kg/mét dài)</t>
  </si>
  <si>
    <t>01 Đoạn sàn đầu cầu (trọng lượng 211kg/mét dài)</t>
  </si>
  <si>
    <t>Cầu NT 2.6  loại K, M mạ kẽm</t>
  </si>
  <si>
    <t>01 Đoạn nối nhịp (trọng lượng 32kg/mét dài)</t>
  </si>
  <si>
    <t>01 Đoạn sàn đầu cầu (trọng lượng 271kg/mét dài)</t>
  </si>
  <si>
    <t>Cầu NT 3.2  loại M mạ kẽm</t>
  </si>
  <si>
    <t>01 Đoạn nối nhịp (trọng lượng 34kg/mét dài)</t>
  </si>
  <si>
    <t>01 Đoạn sàn đầu cầu (trọng lượng 290kg/mét dài)</t>
  </si>
  <si>
    <t>Cầu NT 3.2  loại K, MK mạ kẽm</t>
  </si>
  <si>
    <t>01 Đoạn nối nhịp (trọng lượng 183,5kg/mét dài)</t>
  </si>
  <si>
    <t>01 Đoạn sàn đầu cầu (trọng lượng 889kg/mét dài)</t>
  </si>
  <si>
    <t>Cầu NT 3.6  loại MK mạ kẽm</t>
  </si>
  <si>
    <t>01 Đoạn nối nhịp (trọng lượng 215kg/mét dài)</t>
  </si>
  <si>
    <t>01 Đoạn sàn đầu cầu (trọng lượng 1.040kg/mét dài)</t>
  </si>
  <si>
    <t>Cầu NT 4.2  loại MK mạ kẽm</t>
  </si>
  <si>
    <t>01 Đoạn nối nhịp (trọng lượng 245kg/mét dài)</t>
  </si>
  <si>
    <t>01 Đoạn sàn đầu cầu (trọng lượng 1.185kg/mét dài)</t>
  </si>
  <si>
    <t>Cầu NT 3.2  loại A, HA, HB mạ kẽm</t>
  </si>
  <si>
    <t>Cầu NT 4.2  loại B, HB mạ kẽm</t>
  </si>
  <si>
    <t xml:space="preserve">Gối cầu NT mạ kẽm bảo vệ bề mặt: </t>
  </si>
  <si>
    <t>Loại cầu A (trọng lượng 26kg/cái)</t>
  </si>
  <si>
    <t>Loại cầu B (trọng lượng 18kg/cái)</t>
  </si>
  <si>
    <t>Loại cầu H, HB (trọng lượng 31kg/cái)</t>
  </si>
  <si>
    <t>Loại cầu HC (trọng lượng 55kg/cái)</t>
  </si>
  <si>
    <t>CẦU THÉP: Công ty Cổ phần Đầu tư Phát triển Hạ tầng An Giang - Cơ khí Giao thông sản xuất (giao hàng tại Xưởng trên phương tiện bên mua). Theo bảng giá tháng 3/2015</t>
  </si>
  <si>
    <t>* Cầu thép C400</t>
  </si>
  <si>
    <t xml:space="preserve"> - Cầu thép C400 Tải trọng H18</t>
  </si>
  <si>
    <t xml:space="preserve">   + Cầu C400 R M (Mạ kẽm bề mặt - Nhịp từ 9m đến 30m)</t>
  </si>
  <si>
    <t xml:space="preserve"> - Cầu thép C400 Tải trọng H13</t>
  </si>
  <si>
    <t xml:space="preserve">   + Cầu C400 E M (Mạ kẽm bề mặt - Nhịp từ 9m đến 30m)</t>
  </si>
  <si>
    <t xml:space="preserve"> - Các cấu kiện đi kèm</t>
  </si>
  <si>
    <t xml:space="preserve">   + Gối di động (mạ kẽm bề mặt)</t>
  </si>
  <si>
    <t xml:space="preserve">   + Gối cố định động (mạ kẽm bề mặt)</t>
  </si>
  <si>
    <r>
      <t xml:space="preserve">   + Bản quá độ 3m x 4m</t>
    </r>
    <r>
      <rPr>
        <vertAlign val="superscript"/>
        <sz val="10.5"/>
        <rFont val="Times New Roman"/>
        <family val="1"/>
      </rPr>
      <t xml:space="preserve"> </t>
    </r>
    <r>
      <rPr>
        <sz val="10.5"/>
        <rFont val="Times New Roman"/>
        <family val="1"/>
      </rPr>
      <t>(mạ kẽm bề mặt)</t>
    </r>
  </si>
  <si>
    <t>đ/nhịp</t>
  </si>
  <si>
    <r>
      <t xml:space="preserve">   + Hộp sàn cầu 1m*3m</t>
    </r>
    <r>
      <rPr>
        <vertAlign val="superscript"/>
        <sz val="10.5"/>
        <rFont val="Times New Roman"/>
        <family val="1"/>
      </rPr>
      <t xml:space="preserve"> </t>
    </r>
    <r>
      <rPr>
        <sz val="10.5"/>
        <rFont val="Times New Roman"/>
        <family val="1"/>
      </rPr>
      <t>(mạ kẽm bề mặt)</t>
    </r>
  </si>
  <si>
    <t xml:space="preserve">   + Đoạn nối nhịp 0,5m * 4,0m (mạ kẽm bề mặt)</t>
  </si>
  <si>
    <t xml:space="preserve">   + Dầm I 400 (mạ kẽm bề mặt)</t>
  </si>
  <si>
    <t xml:space="preserve">   + Khung Panel (mạ kẽm bề mặt)</t>
  </si>
  <si>
    <t>đ/khung</t>
  </si>
  <si>
    <t>* Cầu thép C300 - Dạng MEBAY</t>
  </si>
  <si>
    <t xml:space="preserve"> - Cầu thép C300 Tải trọng H18</t>
  </si>
  <si>
    <t xml:space="preserve">   + Cầu C300 R M (Mạ kẽm bề mặt - Nhịp từ 9m đến 30m)</t>
  </si>
  <si>
    <t xml:space="preserve"> - Cầu thép C300 Tải trọng H13</t>
  </si>
  <si>
    <t xml:space="preserve">   + Cầu C300 E M (Mạ kẽm bề mặt - Nhịp từ 9m đến 30m)</t>
  </si>
  <si>
    <r>
      <t xml:space="preserve">   + Bản quá độ 3m x 3m</t>
    </r>
    <r>
      <rPr>
        <vertAlign val="superscript"/>
        <sz val="10.5"/>
        <rFont val="Times New Roman"/>
        <family val="1"/>
      </rPr>
      <t xml:space="preserve"> </t>
    </r>
    <r>
      <rPr>
        <sz val="10.5"/>
        <rFont val="Times New Roman"/>
        <family val="1"/>
      </rPr>
      <t>(mạ kẽm bề mặt)</t>
    </r>
  </si>
  <si>
    <t xml:space="preserve">   + Đoạn nối nhịp (mạ kẽm bề mặt)</t>
  </si>
  <si>
    <t xml:space="preserve">   + Dầm I 350 (mạ kẽm bề mặt)</t>
  </si>
  <si>
    <t>XXIII</t>
  </si>
  <si>
    <t xml:space="preserve">CÁC LOẠI VẬT LIỆU KHÁC </t>
  </si>
  <si>
    <t>Đất đèn</t>
  </si>
  <si>
    <t>Giấy nhám Trung Quốc (20cm x 30cm)</t>
  </si>
  <si>
    <t>Chổi bông cỏ</t>
  </si>
  <si>
    <t>Bột màu Trung Quốc màu xanh</t>
  </si>
  <si>
    <t>Bột màu Trung Quốc màu vàng</t>
  </si>
  <si>
    <t>Đinh các loại</t>
  </si>
  <si>
    <t xml:space="preserve">Dây buộc </t>
  </si>
  <si>
    <t>Lưới B40 (khổ 0,8; 1,0; 1,2; 1,5; 1,8; 2,0; 2,2; 2,4m)</t>
  </si>
  <si>
    <t>Kẽm gai (1kg/6m)</t>
  </si>
  <si>
    <t>Vôi cục</t>
  </si>
  <si>
    <t>A dao Việt Nam (keo 1/2 kg)</t>
  </si>
  <si>
    <t>đ/keo</t>
  </si>
  <si>
    <t>Cửa nhựa Hân Vương có khóa, khuôn bao 0,75x1,9m</t>
  </si>
  <si>
    <t xml:space="preserve">Que hàn Việt Nam fi 3,2 và fi 4 (hộp 5kg) </t>
  </si>
  <si>
    <t>XXIV</t>
  </si>
  <si>
    <t>NHIÊN LIỆU :</t>
  </si>
  <si>
    <t>*  Xăng dầu Petrolimex: Cty TNHH MTV Xăng Dầu An Giang. Áp dụng kể từ 15 giờ 00 ngày 05/5/2016 trên địa bàn tỉnh An Giang.</t>
  </si>
  <si>
    <t>Xăng không chì RON 95-II</t>
  </si>
  <si>
    <t>đ/lít</t>
  </si>
  <si>
    <t>Xăng không chì RON 92-II</t>
  </si>
  <si>
    <t>Xăng sinh học E5 RON 92-II</t>
  </si>
  <si>
    <t>Dầu Diesel 0,05%S</t>
  </si>
  <si>
    <t>Dầu hỏa</t>
  </si>
  <si>
    <t>*  Xăng dầu Petrolimex: Cty TNHH MTV Xăng Dầu An Giang. Áp dụng kể từ 15 giờ 00 ngày 20/5/2016 trên địa bàn tỉnh An Giang.</t>
  </si>
  <si>
    <t>* Dầu nhờn Eneos: Cty TNHH TM Hóa dầu Tây Nam Bộ (53/62C, Nguyễn Việt Dũng, P. An Thới, Q. Bình Thủy, Tp. Cần Thơ), giao hàng đến công trình. Theo bảng giá ngày 05/11/2015</t>
  </si>
  <si>
    <t>Dầu thủy lực Eneos Super Hyroando (18 lít/thùng)</t>
  </si>
  <si>
    <t>Dầu EneosTurbine 100 (200 lít/thùng)</t>
  </si>
  <si>
    <t>Dầu đa chức năng Eneos super Mulpus DX32 (18 lít/thùng)</t>
  </si>
  <si>
    <t>Dầu hộp số Eneos Bonnoc M150 (18 lít/thùng)</t>
  </si>
  <si>
    <t>Dầu gia công kim loại Eneos Uniway XS68 (18 lít/thùng)</t>
  </si>
  <si>
    <r>
      <t xml:space="preserve">     * </t>
    </r>
    <r>
      <rPr>
        <b/>
        <u/>
        <sz val="10"/>
        <rFont val="Times New Roman"/>
        <family val="1"/>
      </rPr>
      <t>Ghi chú</t>
    </r>
    <r>
      <rPr>
        <b/>
        <sz val="10"/>
        <rFont val="Times New Roman"/>
        <family val="1"/>
      </rPr>
      <t xml:space="preserve">:  </t>
    </r>
  </si>
  <si>
    <t xml:space="preserve">      - Chủ đầu tư và đơn vị Tư vấn xác định cự ly chi phí vận chuyển từ nơi sản xuất đến chân công trình đối với các loại vật liệu được nêu trong công bố giá đảm bảo hiệu quả kinh tế nhất.</t>
  </si>
  <si>
    <t xml:space="preserve">      - Giá đá đã bao gồm phí bảo vệ môi trường (căn cứ Quyết định số 33/2012/QĐ-UBND ngày 04/10/2012 của UBND tỉnh về mức thu phí bảo vệ môi trường đối với khai thác khoáng sản không kim loại trên địa bàn tỉnh An Giang, mức thu phí : 3.000đ/tấn).</t>
  </si>
  <si>
    <t xml:space="preserve">      - Đối với gói thầu sử dụng vốn nhà nước thuộc hình thức chỉ định thầu, nếu sản phẩm, vật liệu, vật tư có cùng tính năng kỹ thuật tương đương có giá công bố khác nhau thì ưu tiên sử dụng loại có chi phí thấp hơn được tính đến chân công trình (bao gồm vật liệu, vật tư, sản phẩm và chi phí vận chuyển)./.</t>
  </si>
  <si>
    <t>SỞ XÂY DỰNG</t>
  </si>
  <si>
    <t xml:space="preserve"> KT. GIÁM ĐỐC </t>
  </si>
  <si>
    <t xml:space="preserve">       Nơi nhận:</t>
  </si>
  <si>
    <t xml:space="preserve">       - Bộ Tài chính;</t>
  </si>
  <si>
    <t xml:space="preserve">       - Cục Quản lý Giá;</t>
  </si>
  <si>
    <t xml:space="preserve">       - VP.UBND tỉnh;</t>
  </si>
  <si>
    <t xml:space="preserve">       - Các Sở liên quan;</t>
  </si>
  <si>
    <t xml:space="preserve">       - Kho bạc Nhà nước tỉnh;</t>
  </si>
  <si>
    <t xml:space="preserve">       - Sở Tài chính các tỉnh;</t>
  </si>
  <si>
    <t>SỞ TÀI CHÍNH</t>
  </si>
  <si>
    <t>KT.GIÁM ĐỐC</t>
  </si>
  <si>
    <t>PHÓ GIÁM ĐỐC</t>
  </si>
  <si>
    <t xml:space="preserve">    LIÊN SỞ XÂY DỰNG - TÀI CHÍNH                                                      Độc lập - Tự do - Hạnh phúc                               </t>
  </si>
  <si>
    <t>GỖ XẺ CÁC LOẠI:</t>
  </si>
  <si>
    <t xml:space="preserve"> * Cty CP XNK Nông Sản Thực Phẩm AG (QL91, Khóm Đông Thạnh B, Mỹ Thạnh, Tp. Long Xuyên, An Giang). Theo bảng giá ngày 18/01/2016</t>
  </si>
  <si>
    <r>
      <t xml:space="preserve">UBND TỈNH AN GIANG                                               </t>
    </r>
    <r>
      <rPr>
        <b/>
        <sz val="14"/>
        <color indexed="8"/>
        <rFont val="Times New Roman"/>
        <family val="1"/>
      </rPr>
      <t>CỘNG HOÀ XÃ HỘI CHỦ NGHĨA VIỆT NAM</t>
    </r>
  </si>
  <si>
    <t xml:space="preserve">       - Lưu: VT Sở XD, Sở TC, Phòng KT.</t>
  </si>
  <si>
    <t>* Cty CP SX-TM Liên Phát  (số 57 Đào Duy Anh, P.9, Q. Phú Nhuận, Tp.HCM), giao hàng tại kho Cty. Theo bảng giá ngày 04/05/2016</t>
  </si>
  <si>
    <r>
      <t xml:space="preserve">               Số:   78 /CBLS/XD-TC                                                              </t>
    </r>
    <r>
      <rPr>
        <i/>
        <sz val="14"/>
        <rFont val="Times New Roman"/>
        <family val="1"/>
      </rPr>
      <t>An Giang, ngày  27  tháng 5 năm 2016</t>
    </r>
  </si>
</sst>
</file>

<file path=xl/styles.xml><?xml version="1.0" encoding="utf-8"?>
<styleSheet xmlns="http://schemas.openxmlformats.org/spreadsheetml/2006/main">
  <numFmts count="6">
    <numFmt numFmtId="43" formatCode="_(* #,##0.00_);_(* \(#,##0.00\);_(* &quot;-&quot;??_);_(@_)"/>
    <numFmt numFmtId="164" formatCode="_(* ###,0&quot;.&quot;00_);_(* \(###,0&quot;.&quot;00\);_(* &quot;-&quot;??_);_(@_)"/>
    <numFmt numFmtId="165" formatCode="_(* #,##0_);_(* \(#,##0\);_(* &quot;-&quot;??_);_(@_)"/>
    <numFmt numFmtId="166" formatCode="#,##0.000"/>
    <numFmt numFmtId="167" formatCode="#&quot;.&quot;##0"/>
    <numFmt numFmtId="168" formatCode="_(&quot;+&quot;* #,##0_);_(&quot;+&quot;* \(#,##0\);_(&quot;+&quot;* &quot;-&quot;_);_(@_)"/>
  </numFmts>
  <fonts count="35">
    <font>
      <sz val="11"/>
      <color theme="1"/>
      <name val="Calibri"/>
      <family val="2"/>
      <scheme val="minor"/>
    </font>
    <font>
      <sz val="14"/>
      <name val="Times New Roman"/>
      <family val="1"/>
    </font>
    <font>
      <b/>
      <sz val="14"/>
      <name val="Times New Roman"/>
      <family val="1"/>
    </font>
    <font>
      <b/>
      <sz val="10.5"/>
      <name val="Times New Roman"/>
      <family val="1"/>
    </font>
    <font>
      <i/>
      <sz val="14"/>
      <name val="Times New Roman"/>
      <family val="1"/>
    </font>
    <font>
      <b/>
      <sz val="12"/>
      <name val="Times New Roman"/>
      <family val="1"/>
    </font>
    <font>
      <b/>
      <sz val="18"/>
      <name val="Times New Roman"/>
      <family val="1"/>
    </font>
    <font>
      <b/>
      <sz val="15"/>
      <name val="Times New Roman"/>
      <family val="1"/>
    </font>
    <font>
      <sz val="12"/>
      <name val="Times New Roman"/>
      <family val="1"/>
    </font>
    <font>
      <sz val="10.5"/>
      <name val="Times New Roman"/>
      <family val="1"/>
    </font>
    <font>
      <b/>
      <u/>
      <sz val="10.5"/>
      <name val="Times New Roman"/>
      <family val="1"/>
    </font>
    <font>
      <b/>
      <i/>
      <u/>
      <sz val="10.5"/>
      <name val="Times New Roman"/>
      <family val="1"/>
    </font>
    <font>
      <vertAlign val="superscript"/>
      <sz val="12"/>
      <name val="Times New Roman"/>
      <family val="1"/>
    </font>
    <font>
      <vertAlign val="superscript"/>
      <sz val="10.5"/>
      <name val="Times New Roman"/>
      <family val="1"/>
    </font>
    <font>
      <i/>
      <sz val="10.5"/>
      <name val="Times New Roman"/>
      <family val="1"/>
    </font>
    <font>
      <sz val="10.5"/>
      <name val="Calibri"/>
      <family val="2"/>
    </font>
    <font>
      <sz val="8.6999999999999993"/>
      <name val="Times New Roman"/>
      <family val="1"/>
    </font>
    <font>
      <b/>
      <vertAlign val="superscript"/>
      <sz val="10.5"/>
      <name val="Times New Roman"/>
      <family val="1"/>
    </font>
    <font>
      <sz val="11"/>
      <name val="Calibri"/>
      <family val="2"/>
    </font>
    <font>
      <sz val="11"/>
      <name val="Times New Roman"/>
      <family val="1"/>
    </font>
    <font>
      <sz val="10.5"/>
      <name val="VNI-Times"/>
    </font>
    <font>
      <sz val="10"/>
      <name val="Arial"/>
      <family val="2"/>
    </font>
    <font>
      <sz val="10"/>
      <name val="VNI-Times"/>
    </font>
    <font>
      <u/>
      <sz val="10.5"/>
      <name val="Times New Roman"/>
      <family val="1"/>
    </font>
    <font>
      <b/>
      <sz val="10"/>
      <name val="Times New Roman"/>
      <family val="1"/>
    </font>
    <font>
      <b/>
      <u/>
      <sz val="10"/>
      <name val="Times New Roman"/>
      <family val="1"/>
    </font>
    <font>
      <b/>
      <u/>
      <sz val="12"/>
      <name val="Times New Roman"/>
      <family val="1"/>
    </font>
    <font>
      <sz val="10"/>
      <name val="Times New Roman"/>
      <family val="1"/>
    </font>
    <font>
      <b/>
      <i/>
      <sz val="12"/>
      <name val="Times New Roman"/>
      <family val="1"/>
    </font>
    <font>
      <sz val="11.5"/>
      <name val="Times New Roman"/>
      <family val="1"/>
    </font>
    <font>
      <b/>
      <sz val="14"/>
      <color indexed="8"/>
      <name val="Times New Roman"/>
      <family val="1"/>
    </font>
    <font>
      <sz val="11"/>
      <color theme="1"/>
      <name val="Calibri"/>
      <family val="2"/>
      <scheme val="minor"/>
    </font>
    <font>
      <sz val="13"/>
      <color rgb="FF000000"/>
      <name val="Times New Roman"/>
      <family val="1"/>
    </font>
    <font>
      <b/>
      <sz val="13"/>
      <color rgb="FF000000"/>
      <name val="Times New Roman"/>
      <family val="1"/>
    </font>
    <font>
      <sz val="14"/>
      <color rgb="FF000000"/>
      <name val="Times New Roman"/>
      <family val="1"/>
    </font>
  </fonts>
  <fills count="2">
    <fill>
      <patternFill patternType="none"/>
    </fill>
    <fill>
      <patternFill patternType="gray125"/>
    </fill>
  </fills>
  <borders count="18">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bottom style="dashed">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
    <xf numFmtId="0" fontId="0" fillId="0" borderId="0"/>
    <xf numFmtId="43" fontId="31" fillId="0" borderId="0" applyFont="0" applyFill="0" applyBorder="0" applyAlignment="0" applyProtection="0"/>
    <xf numFmtId="0" fontId="21" fillId="0" borderId="0"/>
    <xf numFmtId="168" fontId="22" fillId="0" borderId="0" applyFont="0" applyFill="0" applyBorder="0" applyAlignment="0" applyProtection="0"/>
  </cellStyleXfs>
  <cellXfs count="240">
    <xf numFmtId="0" fontId="0" fillId="0" borderId="0" xfId="0"/>
    <xf numFmtId="0" fontId="5" fillId="0" borderId="0" xfId="0" applyFont="1" applyFill="1" applyAlignment="1">
      <alignment horizontal="center"/>
    </xf>
    <xf numFmtId="0" fontId="7" fillId="0" borderId="0" xfId="0" applyNumberFormat="1" applyFont="1" applyFill="1" applyAlignment="1">
      <alignment horizontal="center" vertical="center"/>
    </xf>
    <xf numFmtId="0" fontId="7" fillId="0" borderId="0" xfId="0" applyFont="1" applyFill="1" applyAlignment="1">
      <alignment horizontal="center" vertical="center"/>
    </xf>
    <xf numFmtId="0" fontId="8" fillId="0" borderId="0" xfId="0" applyNumberFormat="1" applyFont="1" applyFill="1" applyAlignment="1">
      <alignment horizontal="center" vertical="center" wrapText="1"/>
    </xf>
    <xf numFmtId="0" fontId="8" fillId="0" borderId="0" xfId="0" applyFont="1" applyFill="1" applyAlignment="1">
      <alignment horizontal="justify" vertical="center" wrapText="1"/>
    </xf>
    <xf numFmtId="0" fontId="9" fillId="0" borderId="1" xfId="0" applyNumberFormat="1" applyFont="1" applyFill="1" applyBorder="1" applyAlignment="1">
      <alignment horizontal="left" vertical="center" wrapText="1"/>
    </xf>
    <xf numFmtId="0" fontId="9" fillId="0" borderId="2"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9" fillId="0" borderId="3"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24" fillId="0" borderId="0" xfId="0" applyNumberFormat="1" applyFont="1" applyFill="1" applyBorder="1" applyAlignment="1">
      <alignment horizontal="left"/>
    </xf>
    <xf numFmtId="0" fontId="26" fillId="0" borderId="0" xfId="0" applyFont="1" applyFill="1" applyBorder="1"/>
    <xf numFmtId="0" fontId="8" fillId="0" borderId="0" xfId="0" applyFont="1" applyFill="1" applyBorder="1" applyAlignment="1">
      <alignment horizontal="center"/>
    </xf>
    <xf numFmtId="3" fontId="8" fillId="0" borderId="0" xfId="0" applyNumberFormat="1" applyFont="1" applyFill="1" applyBorder="1" applyAlignment="1">
      <alignment horizontal="center"/>
    </xf>
    <xf numFmtId="0" fontId="10" fillId="0" borderId="0" xfId="0" applyFont="1" applyFill="1" applyBorder="1" applyAlignment="1">
      <alignment horizontal="center"/>
    </xf>
    <xf numFmtId="0" fontId="0" fillId="0" borderId="0" xfId="0" applyFont="1" applyFill="1"/>
    <xf numFmtId="0" fontId="2" fillId="0" borderId="0" xfId="0" applyFont="1" applyFill="1"/>
    <xf numFmtId="0" fontId="29" fillId="0" borderId="0" xfId="0" applyFont="1" applyFill="1"/>
    <xf numFmtId="0" fontId="27" fillId="0" borderId="0" xfId="0" applyFont="1" applyFill="1"/>
    <xf numFmtId="0" fontId="9" fillId="0" borderId="1" xfId="0" quotePrefix="1"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4" xfId="0" applyFont="1" applyFill="1" applyBorder="1" applyAlignment="1">
      <alignment horizontal="center" vertical="center" wrapText="1"/>
    </xf>
    <xf numFmtId="3" fontId="11" fillId="0" borderId="4"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3" fontId="11" fillId="0" borderId="5"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3"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3" fontId="9" fillId="0" borderId="6"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3" fontId="9" fillId="0" borderId="7" xfId="0" applyNumberFormat="1" applyFont="1" applyFill="1" applyBorder="1" applyAlignment="1">
      <alignment horizontal="center" vertical="center" wrapText="1"/>
    </xf>
    <xf numFmtId="3" fontId="9" fillId="0" borderId="8" xfId="0" applyNumberFormat="1" applyFont="1" applyFill="1" applyBorder="1" applyAlignment="1">
      <alignment horizontal="center" vertical="center" wrapText="1"/>
    </xf>
    <xf numFmtId="3" fontId="9" fillId="0" borderId="9" xfId="0" applyNumberFormat="1" applyFont="1" applyFill="1" applyBorder="1" applyAlignment="1">
      <alignment horizontal="center" vertical="center" wrapText="1"/>
    </xf>
    <xf numFmtId="0" fontId="9" fillId="0" borderId="9"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3" fontId="9" fillId="0" borderId="10"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3" fontId="9" fillId="0" borderId="4"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3" fontId="9" fillId="0" borderId="1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quotePrefix="1" applyNumberFormat="1" applyFont="1" applyFill="1" applyBorder="1" applyAlignment="1">
      <alignment horizontal="center" vertical="center" wrapText="1"/>
    </xf>
    <xf numFmtId="3" fontId="9" fillId="0" borderId="1" xfId="0" quotePrefix="1" applyNumberFormat="1" applyFont="1" applyFill="1" applyBorder="1" applyAlignment="1">
      <alignment horizontal="center" vertical="center" wrapText="1"/>
    </xf>
    <xf numFmtId="3" fontId="9" fillId="0" borderId="12" xfId="0" applyNumberFormat="1" applyFont="1" applyFill="1" applyBorder="1" applyAlignment="1">
      <alignment horizontal="center" vertical="center" wrapText="1"/>
    </xf>
    <xf numFmtId="0" fontId="9" fillId="0" borderId="10"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 xfId="0" quotePrefix="1" applyFont="1" applyFill="1" applyBorder="1" applyAlignment="1">
      <alignment horizontal="center" vertical="center" wrapText="1"/>
    </xf>
    <xf numFmtId="3" fontId="9" fillId="0" borderId="7" xfId="0" quotePrefix="1" applyNumberFormat="1" applyFont="1" applyFill="1" applyBorder="1" applyAlignment="1">
      <alignment horizontal="center" vertical="center" wrapText="1"/>
    </xf>
    <xf numFmtId="0" fontId="9" fillId="0" borderId="7" xfId="0" quotePrefix="1" applyFont="1" applyFill="1" applyBorder="1" applyAlignment="1">
      <alignment horizontal="center" vertical="center" wrapText="1"/>
    </xf>
    <xf numFmtId="3" fontId="9" fillId="0" borderId="3" xfId="0" quotePrefix="1" applyNumberFormat="1" applyFont="1" applyFill="1" applyBorder="1" applyAlignment="1">
      <alignment horizontal="center" vertical="center" wrapText="1"/>
    </xf>
    <xf numFmtId="3" fontId="9" fillId="0" borderId="2" xfId="0" quotePrefix="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5" xfId="0" quotePrefix="1" applyNumberFormat="1" applyFont="1" applyFill="1" applyBorder="1" applyAlignment="1">
      <alignment horizontal="center" vertical="center" wrapText="1"/>
    </xf>
    <xf numFmtId="0" fontId="9" fillId="0" borderId="7" xfId="0" quotePrefix="1" applyNumberFormat="1" applyFont="1" applyFill="1" applyBorder="1" applyAlignment="1">
      <alignment horizontal="center" vertical="center" wrapText="1"/>
    </xf>
    <xf numFmtId="0" fontId="9" fillId="0" borderId="13" xfId="0" quotePrefix="1" applyNumberFormat="1" applyFont="1" applyFill="1" applyBorder="1" applyAlignment="1">
      <alignment horizontal="center" vertical="center" wrapText="1"/>
    </xf>
    <xf numFmtId="0" fontId="9" fillId="0" borderId="13" xfId="0" applyNumberFormat="1" applyFont="1" applyFill="1" applyBorder="1" applyAlignment="1">
      <alignment horizontal="center" vertical="center" wrapText="1"/>
    </xf>
    <xf numFmtId="164" fontId="9" fillId="0" borderId="3" xfId="1" applyNumberFormat="1" applyFont="1" applyFill="1" applyBorder="1" applyAlignment="1">
      <alignment horizontal="center" vertical="center" wrapText="1"/>
    </xf>
    <xf numFmtId="0" fontId="9" fillId="0" borderId="6" xfId="0" quotePrefix="1" applyNumberFormat="1" applyFont="1" applyFill="1" applyBorder="1" applyAlignment="1">
      <alignment horizontal="center" vertical="center" wrapText="1"/>
    </xf>
    <xf numFmtId="164" fontId="9" fillId="0" borderId="5" xfId="1" applyNumberFormat="1" applyFont="1" applyFill="1" applyBorder="1" applyAlignment="1">
      <alignment horizontal="center" vertical="center" wrapText="1"/>
    </xf>
    <xf numFmtId="3" fontId="9" fillId="0" borderId="14"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9" fillId="0" borderId="1" xfId="2" applyNumberFormat="1" applyFont="1" applyFill="1" applyBorder="1" applyAlignment="1">
      <alignment horizontal="center" vertical="center" wrapText="1"/>
    </xf>
    <xf numFmtId="0" fontId="9" fillId="0" borderId="2" xfId="2" applyNumberFormat="1" applyFont="1" applyFill="1" applyBorder="1" applyAlignment="1">
      <alignment horizontal="center" vertical="center" wrapText="1"/>
    </xf>
    <xf numFmtId="0" fontId="9" fillId="0" borderId="7" xfId="2" applyNumberFormat="1" applyFont="1" applyFill="1" applyBorder="1" applyAlignment="1">
      <alignment horizontal="center" vertical="center" wrapText="1"/>
    </xf>
    <xf numFmtId="0" fontId="3" fillId="0" borderId="5" xfId="0" applyNumberFormat="1" applyFont="1" applyFill="1" applyBorder="1" applyAlignment="1">
      <alignment horizontal="left" vertical="center" wrapText="1"/>
    </xf>
    <xf numFmtId="0" fontId="9" fillId="0" borderId="5" xfId="0" applyNumberFormat="1" applyFont="1" applyFill="1" applyBorder="1" applyAlignment="1">
      <alignment horizontal="left" vertical="center" wrapText="1"/>
    </xf>
    <xf numFmtId="0" fontId="9" fillId="0" borderId="7" xfId="0" applyNumberFormat="1" applyFont="1" applyFill="1" applyBorder="1" applyAlignment="1">
      <alignment horizontal="left" vertical="center" wrapText="1"/>
    </xf>
    <xf numFmtId="0" fontId="9" fillId="0" borderId="9" xfId="0" applyNumberFormat="1" applyFont="1" applyFill="1" applyBorder="1" applyAlignment="1">
      <alignment horizontal="left" vertical="center" wrapText="1"/>
    </xf>
    <xf numFmtId="0" fontId="9" fillId="0" borderId="6" xfId="0" applyNumberFormat="1" applyFont="1" applyFill="1" applyBorder="1" applyAlignment="1">
      <alignment horizontal="left" vertical="center" wrapText="1"/>
    </xf>
    <xf numFmtId="3" fontId="9" fillId="0" borderId="1" xfId="0" applyNumberFormat="1" applyFont="1" applyFill="1" applyBorder="1" applyAlignment="1">
      <alignment horizontal="left" vertical="center" wrapText="1"/>
    </xf>
    <xf numFmtId="3" fontId="9" fillId="0" borderId="2" xfId="0" applyNumberFormat="1" applyFont="1" applyFill="1" applyBorder="1" applyAlignment="1">
      <alignment horizontal="left" vertical="center" wrapText="1"/>
    </xf>
    <xf numFmtId="3" fontId="9" fillId="0" borderId="7" xfId="0" applyNumberFormat="1" applyFont="1" applyFill="1" applyBorder="1" applyAlignment="1">
      <alignment horizontal="left" vertical="center" wrapText="1"/>
    </xf>
    <xf numFmtId="3" fontId="9" fillId="0" borderId="1" xfId="0" quotePrefix="1" applyNumberFormat="1" applyFont="1" applyFill="1" applyBorder="1" applyAlignment="1">
      <alignment horizontal="left" vertical="center" wrapText="1"/>
    </xf>
    <xf numFmtId="3" fontId="9" fillId="0" borderId="12" xfId="0" applyNumberFormat="1" applyFont="1" applyFill="1" applyBorder="1" applyAlignment="1">
      <alignment horizontal="left" vertical="center" wrapText="1"/>
    </xf>
    <xf numFmtId="0" fontId="9" fillId="0" borderId="1" xfId="0" quotePrefix="1" applyFont="1" applyFill="1" applyBorder="1" applyAlignment="1">
      <alignment horizontal="left" vertical="center" wrapText="1"/>
    </xf>
    <xf numFmtId="0" fontId="9" fillId="0" borderId="7" xfId="0" quotePrefix="1" applyFont="1" applyFill="1" applyBorder="1" applyAlignment="1">
      <alignment horizontal="left" vertical="center" wrapText="1"/>
    </xf>
    <xf numFmtId="0" fontId="9" fillId="0" borderId="5" xfId="0" quotePrefix="1" applyNumberFormat="1" applyFont="1" applyFill="1" applyBorder="1" applyAlignment="1">
      <alignment horizontal="left" vertical="center" wrapText="1"/>
    </xf>
    <xf numFmtId="0" fontId="9" fillId="0" borderId="7" xfId="0" quotePrefix="1" applyNumberFormat="1" applyFont="1" applyFill="1" applyBorder="1" applyAlignment="1">
      <alignment horizontal="left" vertical="center" wrapText="1"/>
    </xf>
    <xf numFmtId="0" fontId="9" fillId="0" borderId="13" xfId="0" applyNumberFormat="1" applyFont="1" applyFill="1" applyBorder="1" applyAlignment="1">
      <alignment horizontal="left" vertical="center" wrapText="1"/>
    </xf>
    <xf numFmtId="165" fontId="9" fillId="0" borderId="1"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wrapText="1"/>
    </xf>
    <xf numFmtId="0" fontId="9" fillId="0" borderId="1" xfId="2" applyNumberFormat="1" applyFont="1" applyFill="1" applyBorder="1" applyAlignment="1">
      <alignment horizontal="left" vertical="center" wrapText="1"/>
    </xf>
    <xf numFmtId="0" fontId="9" fillId="0" borderId="2" xfId="2" applyNumberFormat="1" applyFont="1" applyFill="1" applyBorder="1" applyAlignment="1">
      <alignment horizontal="left" vertical="center" wrapText="1"/>
    </xf>
    <xf numFmtId="0" fontId="9" fillId="0" borderId="7" xfId="2" applyNumberFormat="1" applyFont="1" applyFill="1" applyBorder="1" applyAlignment="1">
      <alignment horizontal="left" vertical="center" wrapText="1"/>
    </xf>
    <xf numFmtId="0" fontId="9" fillId="0" borderId="1" xfId="3" applyNumberFormat="1" applyFont="1" applyFill="1" applyBorder="1" applyAlignment="1">
      <alignment horizontal="left" vertical="center" wrapText="1"/>
    </xf>
    <xf numFmtId="0" fontId="9" fillId="0" borderId="2" xfId="3" applyNumberFormat="1" applyFont="1" applyFill="1" applyBorder="1" applyAlignment="1">
      <alignment horizontal="left" vertical="center" wrapText="1"/>
    </xf>
    <xf numFmtId="165" fontId="9" fillId="0" borderId="1" xfId="1" applyNumberFormat="1" applyFont="1" applyFill="1" applyBorder="1" applyAlignment="1">
      <alignment horizontal="left" vertical="center" wrapText="1"/>
    </xf>
    <xf numFmtId="165" fontId="9" fillId="0" borderId="2" xfId="1" applyNumberFormat="1" applyFont="1" applyFill="1" applyBorder="1" applyAlignment="1">
      <alignment horizontal="left" vertical="center" wrapText="1"/>
    </xf>
    <xf numFmtId="165" fontId="9" fillId="0" borderId="2" xfId="0" applyNumberFormat="1" applyFont="1" applyFill="1" applyBorder="1" applyAlignment="1">
      <alignment horizontal="left" vertical="center" wrapText="1"/>
    </xf>
    <xf numFmtId="165" fontId="9" fillId="0" borderId="1" xfId="0" quotePrefix="1" applyNumberFormat="1" applyFont="1" applyFill="1" applyBorder="1" applyAlignment="1">
      <alignment horizontal="left" vertical="center" wrapText="1"/>
    </xf>
    <xf numFmtId="165" fontId="9" fillId="0" borderId="7" xfId="0" quotePrefix="1" applyNumberFormat="1" applyFont="1" applyFill="1" applyBorder="1" applyAlignment="1">
      <alignment horizontal="left" vertical="center" wrapText="1"/>
    </xf>
    <xf numFmtId="0" fontId="9" fillId="0" borderId="7" xfId="0" applyFont="1" applyFill="1" applyBorder="1" applyAlignment="1">
      <alignment horizontal="left" vertical="center" wrapText="1"/>
    </xf>
    <xf numFmtId="3" fontId="9" fillId="0" borderId="1" xfId="0" applyNumberFormat="1" applyFont="1" applyFill="1" applyBorder="1" applyAlignment="1">
      <alignment horizontal="right" vertical="center" wrapText="1"/>
    </xf>
    <xf numFmtId="0" fontId="9" fillId="0" borderId="1" xfId="0" applyNumberFormat="1" applyFont="1" applyFill="1" applyBorder="1" applyAlignment="1">
      <alignment horizontal="right" vertical="center" wrapText="1"/>
    </xf>
    <xf numFmtId="3" fontId="9" fillId="0" borderId="2" xfId="0" applyNumberFormat="1" applyFont="1" applyFill="1" applyBorder="1" applyAlignment="1">
      <alignment horizontal="right" vertical="center" wrapText="1"/>
    </xf>
    <xf numFmtId="0" fontId="9" fillId="0" borderId="2" xfId="0" applyNumberFormat="1" applyFont="1" applyFill="1" applyBorder="1" applyAlignment="1">
      <alignment horizontal="right" vertical="center" wrapText="1"/>
    </xf>
    <xf numFmtId="3" fontId="9" fillId="0" borderId="5" xfId="0" applyNumberFormat="1" applyFont="1" applyFill="1" applyBorder="1" applyAlignment="1">
      <alignment horizontal="right" vertical="center" wrapText="1"/>
    </xf>
    <xf numFmtId="3" fontId="9" fillId="0" borderId="7" xfId="0" applyNumberFormat="1" applyFont="1" applyFill="1" applyBorder="1" applyAlignment="1">
      <alignment horizontal="right" vertical="center" wrapText="1"/>
    </xf>
    <xf numFmtId="3" fontId="8" fillId="0" borderId="1" xfId="0" applyNumberFormat="1" applyFont="1" applyFill="1" applyBorder="1" applyAlignment="1">
      <alignment horizontal="right" vertical="center" wrapText="1"/>
    </xf>
    <xf numFmtId="0" fontId="5" fillId="0" borderId="7" xfId="0" applyNumberFormat="1" applyFont="1" applyFill="1" applyBorder="1" applyAlignment="1">
      <alignment horizontal="right" vertical="center" wrapText="1"/>
    </xf>
    <xf numFmtId="0" fontId="9" fillId="0" borderId="5" xfId="0" applyNumberFormat="1" applyFont="1" applyFill="1" applyBorder="1" applyAlignment="1">
      <alignment horizontal="right" vertical="center" wrapText="1"/>
    </xf>
    <xf numFmtId="3" fontId="9" fillId="0" borderId="9" xfId="0" applyNumberFormat="1" applyFont="1" applyFill="1" applyBorder="1" applyAlignment="1">
      <alignment horizontal="right" vertical="center" wrapText="1"/>
    </xf>
    <xf numFmtId="0" fontId="9" fillId="0" borderId="9" xfId="0" applyNumberFormat="1" applyFont="1" applyFill="1" applyBorder="1" applyAlignment="1">
      <alignment horizontal="right" vertical="center" wrapText="1"/>
    </xf>
    <xf numFmtId="3" fontId="9" fillId="0" borderId="3" xfId="0" applyNumberFormat="1" applyFont="1" applyFill="1" applyBorder="1" applyAlignment="1">
      <alignment horizontal="right" vertical="center" wrapText="1"/>
    </xf>
    <xf numFmtId="0" fontId="9" fillId="0" borderId="3" xfId="0" applyNumberFormat="1" applyFont="1" applyFill="1" applyBorder="1" applyAlignment="1">
      <alignment horizontal="right" vertical="center" wrapText="1"/>
    </xf>
    <xf numFmtId="0" fontId="9" fillId="0" borderId="7" xfId="0" applyNumberFormat="1" applyFont="1" applyFill="1" applyBorder="1" applyAlignment="1">
      <alignment horizontal="right" vertical="center" wrapText="1"/>
    </xf>
    <xf numFmtId="165" fontId="8" fillId="0" borderId="1" xfId="1" applyNumberFormat="1" applyFont="1" applyFill="1" applyBorder="1" applyAlignment="1">
      <alignment horizontal="right" vertical="center" wrapText="1"/>
    </xf>
    <xf numFmtId="3" fontId="8" fillId="0" borderId="2" xfId="0" applyNumberFormat="1" applyFont="1" applyFill="1" applyBorder="1" applyAlignment="1">
      <alignment horizontal="right" vertical="center" wrapText="1"/>
    </xf>
    <xf numFmtId="165" fontId="8" fillId="0" borderId="7" xfId="1" applyNumberFormat="1" applyFont="1" applyFill="1" applyBorder="1" applyAlignment="1">
      <alignment horizontal="right" vertical="center" wrapText="1"/>
    </xf>
    <xf numFmtId="3" fontId="9" fillId="0" borderId="6" xfId="0" applyNumberFormat="1" applyFont="1" applyFill="1" applyBorder="1" applyAlignment="1">
      <alignment horizontal="right" vertical="center" wrapText="1"/>
    </xf>
    <xf numFmtId="0" fontId="9" fillId="0" borderId="6" xfId="0" applyNumberFormat="1" applyFont="1" applyFill="1" applyBorder="1" applyAlignment="1">
      <alignment horizontal="right" vertical="center" wrapText="1"/>
    </xf>
    <xf numFmtId="0" fontId="0" fillId="0" borderId="1" xfId="0" applyFont="1" applyFill="1" applyBorder="1" applyAlignment="1">
      <alignment horizontal="right" vertical="center" wrapText="1"/>
    </xf>
    <xf numFmtId="0" fontId="0" fillId="0" borderId="5" xfId="0" applyFont="1" applyFill="1" applyBorder="1" applyAlignment="1">
      <alignment horizontal="right" vertical="center" wrapText="1"/>
    </xf>
    <xf numFmtId="0" fontId="9" fillId="0" borderId="5" xfId="0" applyFont="1" applyFill="1" applyBorder="1" applyAlignment="1">
      <alignment horizontal="right" vertical="center" wrapText="1"/>
    </xf>
    <xf numFmtId="0" fontId="9" fillId="0" borderId="1" xfId="0" applyFont="1" applyFill="1" applyBorder="1" applyAlignment="1">
      <alignment horizontal="right" vertical="center" wrapText="1"/>
    </xf>
    <xf numFmtId="0" fontId="10" fillId="0" borderId="1" xfId="0" applyFont="1" applyFill="1" applyBorder="1" applyAlignment="1">
      <alignment horizontal="right" vertical="center" wrapText="1"/>
    </xf>
    <xf numFmtId="3" fontId="3" fillId="0" borderId="1" xfId="0" applyNumberFormat="1" applyFont="1" applyFill="1" applyBorder="1" applyAlignment="1">
      <alignment horizontal="right" vertical="center" wrapText="1"/>
    </xf>
    <xf numFmtId="3" fontId="3" fillId="0" borderId="2" xfId="0" applyNumberFormat="1" applyFont="1" applyFill="1" applyBorder="1" applyAlignment="1">
      <alignment horizontal="right" vertical="center" wrapText="1"/>
    </xf>
    <xf numFmtId="0" fontId="9" fillId="0" borderId="2" xfId="0" applyFont="1" applyFill="1" applyBorder="1" applyAlignment="1">
      <alignment horizontal="right" vertical="center" wrapText="1"/>
    </xf>
    <xf numFmtId="166" fontId="9" fillId="0" borderId="1" xfId="0" applyNumberFormat="1" applyFont="1" applyFill="1" applyBorder="1" applyAlignment="1">
      <alignment horizontal="right" vertical="center" wrapText="1"/>
    </xf>
    <xf numFmtId="0" fontId="9" fillId="0" borderId="3" xfId="0" applyFont="1" applyFill="1" applyBorder="1" applyAlignment="1">
      <alignment horizontal="right" vertical="center" wrapText="1"/>
    </xf>
    <xf numFmtId="0" fontId="9" fillId="0" borderId="6" xfId="0" applyFont="1" applyFill="1" applyBorder="1" applyAlignment="1">
      <alignment horizontal="right" vertical="center" wrapText="1"/>
    </xf>
    <xf numFmtId="166" fontId="9" fillId="0" borderId="2" xfId="0" applyNumberFormat="1" applyFont="1" applyFill="1" applyBorder="1" applyAlignment="1">
      <alignment horizontal="right" vertical="center" wrapText="1"/>
    </xf>
    <xf numFmtId="0" fontId="0" fillId="0" borderId="2" xfId="0" applyFont="1" applyFill="1" applyBorder="1" applyAlignment="1">
      <alignment horizontal="right" vertical="center" wrapText="1"/>
    </xf>
    <xf numFmtId="0" fontId="20" fillId="0" borderId="1" xfId="0" applyFont="1" applyFill="1" applyBorder="1" applyAlignment="1">
      <alignment horizontal="right" vertical="center" wrapText="1"/>
    </xf>
    <xf numFmtId="0" fontId="20" fillId="0" borderId="2" xfId="0" applyFont="1" applyFill="1" applyBorder="1" applyAlignment="1">
      <alignment horizontal="right" vertical="center" wrapText="1"/>
    </xf>
    <xf numFmtId="0" fontId="3" fillId="0" borderId="1" xfId="0" applyNumberFormat="1" applyFont="1" applyFill="1" applyBorder="1" applyAlignment="1">
      <alignment horizontal="right" vertical="center" wrapText="1"/>
    </xf>
    <xf numFmtId="0" fontId="20" fillId="0" borderId="7" xfId="0" applyFont="1" applyFill="1" applyBorder="1" applyAlignment="1">
      <alignment horizontal="right" vertical="center" wrapText="1"/>
    </xf>
    <xf numFmtId="3" fontId="9" fillId="0" borderId="12" xfId="0" applyNumberFormat="1" applyFont="1" applyFill="1" applyBorder="1" applyAlignment="1">
      <alignment horizontal="right" vertical="center" wrapText="1"/>
    </xf>
    <xf numFmtId="0" fontId="9" fillId="0" borderId="1" xfId="0" quotePrefix="1" applyFont="1" applyFill="1" applyBorder="1" applyAlignment="1">
      <alignment horizontal="right" vertical="center" wrapText="1"/>
    </xf>
    <xf numFmtId="0" fontId="9" fillId="0" borderId="7" xfId="0" quotePrefix="1" applyFont="1" applyFill="1" applyBorder="1" applyAlignment="1">
      <alignment horizontal="right" vertical="center" wrapText="1"/>
    </xf>
    <xf numFmtId="0" fontId="3" fillId="0" borderId="1" xfId="0" applyFont="1" applyFill="1" applyBorder="1" applyAlignment="1">
      <alignment horizontal="right" vertical="center" wrapText="1"/>
    </xf>
    <xf numFmtId="0" fontId="9" fillId="0" borderId="1" xfId="0" quotePrefix="1" applyNumberFormat="1" applyFont="1" applyFill="1" applyBorder="1" applyAlignment="1">
      <alignment horizontal="right" vertical="center" wrapText="1"/>
    </xf>
    <xf numFmtId="0" fontId="9" fillId="0" borderId="7" xfId="0" quotePrefix="1" applyNumberFormat="1" applyFont="1" applyFill="1" applyBorder="1" applyAlignment="1">
      <alignment horizontal="right" vertical="center" wrapText="1"/>
    </xf>
    <xf numFmtId="3" fontId="9" fillId="0" borderId="13" xfId="0" applyNumberFormat="1" applyFont="1" applyFill="1" applyBorder="1" applyAlignment="1">
      <alignment horizontal="right" vertical="center" wrapText="1"/>
    </xf>
    <xf numFmtId="0" fontId="9" fillId="0" borderId="13" xfId="0" quotePrefix="1" applyNumberFormat="1" applyFont="1" applyFill="1" applyBorder="1" applyAlignment="1">
      <alignment horizontal="right" vertical="center" wrapText="1"/>
    </xf>
    <xf numFmtId="0" fontId="9" fillId="0" borderId="6" xfId="0" quotePrefix="1" applyNumberFormat="1" applyFont="1" applyFill="1" applyBorder="1" applyAlignment="1">
      <alignment horizontal="right" vertical="center" wrapText="1"/>
    </xf>
    <xf numFmtId="0" fontId="3" fillId="0" borderId="2" xfId="0" applyFont="1" applyFill="1" applyBorder="1" applyAlignment="1">
      <alignment horizontal="right" vertical="center" wrapText="1"/>
    </xf>
    <xf numFmtId="3" fontId="9" fillId="0" borderId="11" xfId="0" applyNumberFormat="1" applyFont="1" applyFill="1" applyBorder="1" applyAlignment="1">
      <alignment horizontal="right" vertical="center" wrapText="1"/>
    </xf>
    <xf numFmtId="0" fontId="3" fillId="0" borderId="7" xfId="0" applyFont="1" applyFill="1" applyBorder="1" applyAlignment="1">
      <alignment horizontal="right" vertical="center" wrapText="1"/>
    </xf>
    <xf numFmtId="165" fontId="3" fillId="0" borderId="1" xfId="0" applyNumberFormat="1" applyFont="1" applyFill="1" applyBorder="1" applyAlignment="1">
      <alignment horizontal="right" vertical="center" wrapText="1"/>
    </xf>
    <xf numFmtId="0" fontId="9" fillId="0" borderId="1" xfId="2" applyFont="1" applyFill="1" applyBorder="1" applyAlignment="1">
      <alignment horizontal="right" vertical="center" wrapText="1"/>
    </xf>
    <xf numFmtId="3" fontId="9" fillId="0" borderId="1" xfId="2" applyNumberFormat="1" applyFont="1" applyFill="1" applyBorder="1" applyAlignment="1">
      <alignment horizontal="right" vertical="center" wrapText="1"/>
    </xf>
    <xf numFmtId="0" fontId="9" fillId="0" borderId="2" xfId="2" applyFont="1" applyFill="1" applyBorder="1" applyAlignment="1">
      <alignment horizontal="right" vertical="center" wrapText="1"/>
    </xf>
    <xf numFmtId="3" fontId="9" fillId="0" borderId="2" xfId="2" applyNumberFormat="1" applyFont="1" applyFill="1" applyBorder="1" applyAlignment="1">
      <alignment horizontal="right" vertical="center" wrapText="1"/>
    </xf>
    <xf numFmtId="0" fontId="9" fillId="0" borderId="1" xfId="2" applyNumberFormat="1" applyFont="1" applyFill="1" applyBorder="1" applyAlignment="1">
      <alignment horizontal="right" vertical="center" wrapText="1"/>
    </xf>
    <xf numFmtId="0" fontId="9" fillId="0" borderId="7" xfId="2" applyNumberFormat="1" applyFont="1" applyFill="1" applyBorder="1" applyAlignment="1">
      <alignment horizontal="right" vertical="center" wrapText="1"/>
    </xf>
    <xf numFmtId="3" fontId="9" fillId="0" borderId="7" xfId="2" applyNumberFormat="1" applyFont="1" applyFill="1" applyBorder="1" applyAlignment="1">
      <alignment horizontal="right" vertical="center" wrapText="1"/>
    </xf>
    <xf numFmtId="0" fontId="3" fillId="0" borderId="5" xfId="0" applyFont="1" applyFill="1" applyBorder="1" applyAlignment="1">
      <alignment horizontal="right" vertical="center" wrapText="1"/>
    </xf>
    <xf numFmtId="3" fontId="9" fillId="0" borderId="5" xfId="2" applyNumberFormat="1" applyFont="1" applyFill="1" applyBorder="1" applyAlignment="1">
      <alignment horizontal="right" vertical="center" wrapText="1"/>
    </xf>
    <xf numFmtId="0" fontId="3" fillId="0" borderId="5" xfId="0" applyNumberFormat="1" applyFont="1" applyFill="1" applyBorder="1" applyAlignment="1">
      <alignment horizontal="right" vertical="center" wrapText="1"/>
    </xf>
    <xf numFmtId="0" fontId="9" fillId="0" borderId="7" xfId="0" applyFont="1" applyFill="1" applyBorder="1" applyAlignment="1">
      <alignment horizontal="right" vertical="center" wrapText="1"/>
    </xf>
    <xf numFmtId="167" fontId="9" fillId="0" borderId="1" xfId="0" applyNumberFormat="1" applyFont="1" applyFill="1" applyBorder="1" applyAlignment="1">
      <alignment horizontal="right" vertical="center" wrapText="1"/>
    </xf>
    <xf numFmtId="3" fontId="9" fillId="0" borderId="1" xfId="1" applyNumberFormat="1" applyFont="1" applyFill="1" applyBorder="1" applyAlignment="1">
      <alignment horizontal="right" vertical="center" wrapText="1"/>
    </xf>
    <xf numFmtId="3" fontId="9" fillId="0" borderId="2" xfId="1" applyNumberFormat="1" applyFont="1" applyFill="1" applyBorder="1" applyAlignment="1">
      <alignment horizontal="right" vertical="center" wrapText="1"/>
    </xf>
    <xf numFmtId="0" fontId="23" fillId="0" borderId="1" xfId="0" applyFont="1" applyFill="1" applyBorder="1" applyAlignment="1">
      <alignment horizontal="right" vertical="center" wrapText="1"/>
    </xf>
    <xf numFmtId="0" fontId="0" fillId="0" borderId="0" xfId="0" applyFill="1"/>
    <xf numFmtId="0" fontId="0" fillId="0" borderId="0" xfId="0" applyFill="1" applyAlignment="1">
      <alignment horizontal="center" vertical="center" wrapText="1"/>
    </xf>
    <xf numFmtId="0" fontId="32" fillId="0" borderId="0" xfId="0" applyFont="1" applyFill="1" applyAlignment="1">
      <alignment horizontal="center"/>
    </xf>
    <xf numFmtId="0" fontId="33" fillId="0" borderId="0" xfId="0" applyFont="1" applyFill="1" applyAlignment="1">
      <alignment horizontal="center"/>
    </xf>
    <xf numFmtId="0" fontId="2" fillId="0" borderId="0" xfId="0" applyNumberFormat="1" applyFont="1" applyFill="1" applyAlignment="1">
      <alignment horizontal="center"/>
    </xf>
    <xf numFmtId="0" fontId="3" fillId="0" borderId="3" xfId="0" applyFont="1" applyFill="1" applyBorder="1" applyAlignment="1">
      <alignment horizontal="center" vertical="center" wrapText="1"/>
    </xf>
    <xf numFmtId="0" fontId="34" fillId="0" borderId="0" xfId="0" applyFont="1"/>
    <xf numFmtId="3" fontId="5" fillId="0" borderId="4"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3" fontId="5" fillId="0" borderId="1"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5" xfId="0" applyNumberFormat="1"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4" xfId="0" applyNumberFormat="1" applyFont="1" applyFill="1" applyBorder="1" applyAlignment="1">
      <alignment horizontal="left" vertical="center" wrapText="1"/>
    </xf>
    <xf numFmtId="0" fontId="5" fillId="0" borderId="13"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6" xfId="0" applyNumberFormat="1" applyFont="1" applyFill="1" applyBorder="1" applyAlignment="1">
      <alignment horizontal="right" vertical="center" wrapText="1"/>
    </xf>
    <xf numFmtId="0" fontId="8" fillId="0" borderId="1" xfId="0"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5" fillId="0" borderId="10" xfId="0" applyNumberFormat="1" applyFont="1" applyFill="1" applyBorder="1" applyAlignment="1">
      <alignment horizontal="left" vertical="center" wrapText="1"/>
    </xf>
    <xf numFmtId="3" fontId="3" fillId="0" borderId="10" xfId="0" applyNumberFormat="1" applyFont="1" applyFill="1" applyBorder="1" applyAlignment="1">
      <alignment horizontal="center" vertical="center" wrapText="1"/>
    </xf>
    <xf numFmtId="3" fontId="3" fillId="0" borderId="10" xfId="0" applyNumberFormat="1" applyFont="1" applyFill="1" applyBorder="1" applyAlignment="1">
      <alignment horizontal="right" vertical="center" wrapText="1"/>
    </xf>
    <xf numFmtId="0" fontId="5" fillId="0" borderId="5" xfId="0" applyFont="1" applyFill="1" applyBorder="1" applyAlignment="1">
      <alignment horizontal="center" vertical="center" wrapText="1"/>
    </xf>
    <xf numFmtId="3" fontId="3" fillId="0" borderId="4" xfId="0" applyNumberFormat="1" applyFont="1" applyFill="1" applyBorder="1" applyAlignment="1">
      <alignment horizontal="left" vertical="center" wrapText="1"/>
    </xf>
    <xf numFmtId="3" fontId="3" fillId="0" borderId="4" xfId="0" applyNumberFormat="1" applyFont="1" applyFill="1" applyBorder="1" applyAlignment="1">
      <alignment horizontal="right"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horizontal="right" vertical="center" wrapText="1"/>
    </xf>
    <xf numFmtId="0" fontId="0" fillId="0" borderId="12" xfId="0" applyFont="1" applyFill="1" applyBorder="1" applyAlignment="1">
      <alignment horizontal="right" vertical="center" wrapText="1"/>
    </xf>
    <xf numFmtId="3" fontId="5" fillId="0" borderId="3" xfId="0" applyNumberFormat="1" applyFont="1" applyFill="1" applyBorder="1" applyAlignment="1">
      <alignment horizontal="left" vertical="center" wrapText="1"/>
    </xf>
    <xf numFmtId="3" fontId="9" fillId="0" borderId="5" xfId="0" applyNumberFormat="1" applyFont="1" applyFill="1" applyBorder="1" applyAlignment="1">
      <alignment horizontal="left" vertical="center" wrapText="1"/>
    </xf>
    <xf numFmtId="0" fontId="3" fillId="0" borderId="9" xfId="0" applyFont="1" applyFill="1" applyBorder="1" applyAlignment="1">
      <alignment horizontal="right" vertical="center" wrapText="1"/>
    </xf>
    <xf numFmtId="0" fontId="9" fillId="0" borderId="11" xfId="0" applyNumberFormat="1" applyFont="1" applyFill="1" applyBorder="1" applyAlignment="1">
      <alignment horizontal="left" vertical="center" wrapText="1"/>
    </xf>
    <xf numFmtId="0" fontId="3" fillId="0" borderId="11" xfId="0" applyFont="1" applyFill="1" applyBorder="1" applyAlignment="1">
      <alignment horizontal="right" vertical="center" wrapText="1"/>
    </xf>
    <xf numFmtId="0" fontId="9" fillId="0" borderId="5" xfId="2" applyNumberFormat="1" applyFont="1" applyFill="1" applyBorder="1" applyAlignment="1">
      <alignment horizontal="right" vertical="center" wrapText="1"/>
    </xf>
    <xf numFmtId="165" fontId="3" fillId="0" borderId="1" xfId="0" quotePrefix="1" applyNumberFormat="1" applyFont="1" applyFill="1" applyBorder="1" applyAlignment="1">
      <alignment horizontal="left" vertical="center" wrapText="1"/>
    </xf>
    <xf numFmtId="165" fontId="3" fillId="0" borderId="1" xfId="0" quotePrefix="1" applyNumberFormat="1" applyFont="1" applyFill="1" applyBorder="1" applyAlignment="1">
      <alignment horizontal="center" vertical="center" wrapText="1"/>
    </xf>
    <xf numFmtId="165" fontId="3" fillId="0" borderId="1" xfId="0" quotePrefix="1" applyNumberFormat="1" applyFont="1" applyFill="1" applyBorder="1" applyAlignment="1">
      <alignment horizontal="right" vertical="center" wrapText="1"/>
    </xf>
    <xf numFmtId="3" fontId="5" fillId="0" borderId="13" xfId="0" applyNumberFormat="1" applyFont="1" applyFill="1" applyBorder="1" applyAlignment="1">
      <alignment horizontal="center" vertical="center" wrapText="1"/>
    </xf>
    <xf numFmtId="0" fontId="6" fillId="0" borderId="0" xfId="0" applyNumberFormat="1" applyFont="1" applyFill="1" applyAlignment="1">
      <alignment horizontal="center" vertical="center"/>
    </xf>
    <xf numFmtId="0" fontId="7" fillId="0" borderId="0" xfId="0" applyNumberFormat="1" applyFont="1" applyFill="1" applyAlignment="1">
      <alignment horizontal="center" vertical="center"/>
    </xf>
    <xf numFmtId="0" fontId="7" fillId="0" borderId="0" xfId="0" applyFont="1" applyFill="1" applyAlignment="1">
      <alignment horizontal="center" vertical="center"/>
    </xf>
    <xf numFmtId="0" fontId="8" fillId="0" borderId="0" xfId="0" applyNumberFormat="1" applyFont="1" applyFill="1" applyAlignment="1">
      <alignment horizontal="left" vertical="center" wrapText="1"/>
    </xf>
    <xf numFmtId="0" fontId="27" fillId="0" borderId="0" xfId="0" applyFont="1" applyFill="1" applyBorder="1" applyAlignment="1">
      <alignment horizontal="justify" vertical="center" wrapText="1"/>
    </xf>
    <xf numFmtId="0" fontId="2" fillId="0" borderId="0" xfId="0" applyNumberFormat="1" applyFont="1" applyFill="1" applyAlignment="1">
      <alignment horizontal="center"/>
    </xf>
    <xf numFmtId="43" fontId="5" fillId="0" borderId="4" xfId="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3"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43" fontId="3" fillId="0" borderId="4" xfId="1" applyFont="1" applyFill="1" applyBorder="1" applyAlignment="1">
      <alignment horizontal="left" vertical="center" wrapText="1"/>
    </xf>
    <xf numFmtId="0" fontId="34" fillId="0" borderId="0" xfId="0" applyFont="1" applyAlignment="1">
      <alignment horizontal="center" wrapText="1"/>
    </xf>
    <xf numFmtId="0" fontId="34" fillId="0" borderId="0" xfId="0" applyFont="1" applyAlignment="1">
      <alignment horizontal="center"/>
    </xf>
    <xf numFmtId="0" fontId="2" fillId="0" borderId="0" xfId="0" applyNumberFormat="1" applyFont="1" applyFill="1" applyAlignment="1">
      <alignment horizontal="left" wrapText="1"/>
    </xf>
    <xf numFmtId="0" fontId="1" fillId="0" borderId="0" xfId="0" applyNumberFormat="1" applyFont="1" applyFill="1" applyAlignment="1">
      <alignment horizontal="left"/>
    </xf>
    <xf numFmtId="0" fontId="25" fillId="0" borderId="0" xfId="0" applyNumberFormat="1" applyFont="1" applyFill="1" applyAlignment="1">
      <alignment horizontal="left" wrapText="1"/>
    </xf>
    <xf numFmtId="0" fontId="27" fillId="0" borderId="0" xfId="0" applyNumberFormat="1" applyFont="1" applyFill="1" applyAlignment="1">
      <alignment horizontal="left"/>
    </xf>
    <xf numFmtId="0" fontId="1" fillId="0" borderId="0" xfId="0" applyNumberFormat="1" applyFont="1" applyFill="1" applyAlignment="1">
      <alignment horizontal="left" wrapText="1"/>
    </xf>
    <xf numFmtId="0" fontId="27" fillId="0" borderId="0" xfId="0" applyNumberFormat="1" applyFont="1" applyFill="1" applyBorder="1" applyAlignment="1">
      <alignment horizontal="left"/>
    </xf>
    <xf numFmtId="0" fontId="28" fillId="0" borderId="0" xfId="0" applyNumberFormat="1" applyFont="1" applyFill="1" applyBorder="1" applyAlignment="1">
      <alignment horizontal="left"/>
    </xf>
    <xf numFmtId="0" fontId="27" fillId="0" borderId="0" xfId="0" applyNumberFormat="1" applyFont="1" applyFill="1" applyBorder="1" applyAlignment="1">
      <alignment horizontal="justify" vertical="center" wrapText="1"/>
    </xf>
    <xf numFmtId="0" fontId="5" fillId="0" borderId="9"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43" fontId="5" fillId="0" borderId="15" xfId="1" applyFont="1" applyFill="1" applyBorder="1" applyAlignment="1">
      <alignment horizontal="left" vertical="center" wrapText="1"/>
    </xf>
    <xf numFmtId="43" fontId="5" fillId="0" borderId="16" xfId="1" applyFont="1" applyFill="1" applyBorder="1" applyAlignment="1">
      <alignment horizontal="left" vertical="center" wrapText="1"/>
    </xf>
    <xf numFmtId="43" fontId="5" fillId="0" borderId="17" xfId="1" applyFont="1" applyFill="1" applyBorder="1" applyAlignment="1">
      <alignment horizontal="left" vertical="center" wrapText="1"/>
    </xf>
    <xf numFmtId="0" fontId="0" fillId="0" borderId="16" xfId="0" applyBorder="1" applyAlignment="1">
      <alignment wrapText="1"/>
    </xf>
    <xf numFmtId="0" fontId="0" fillId="0" borderId="17" xfId="0" applyBorder="1" applyAlignment="1">
      <alignment wrapText="1"/>
    </xf>
  </cellXfs>
  <cellStyles count="4">
    <cellStyle name="Comma" xfId="1" builtinId="3"/>
    <cellStyle name="Normal" xfId="0" builtinId="0"/>
    <cellStyle name="Normal_Sheet1" xfId="2"/>
    <cellStyle name="Style 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1368</xdr:row>
      <xdr:rowOff>0</xdr:rowOff>
    </xdr:from>
    <xdr:to>
      <xdr:col>1</xdr:col>
      <xdr:colOff>95250</xdr:colOff>
      <xdr:row>1368</xdr:row>
      <xdr:rowOff>0</xdr:rowOff>
    </xdr:to>
    <xdr:pic>
      <xdr:nvPicPr>
        <xdr:cNvPr id="1394" name="Picture 1" descr="026 copy"/>
        <xdr:cNvPicPr>
          <a:picLocks noChangeAspect="1" noChangeArrowheads="1"/>
        </xdr:cNvPicPr>
      </xdr:nvPicPr>
      <xdr:blipFill>
        <a:blip xmlns:r="http://schemas.openxmlformats.org/officeDocument/2006/relationships" r:embed="rId1"/>
        <a:srcRect/>
        <a:stretch>
          <a:fillRect/>
        </a:stretch>
      </xdr:blipFill>
      <xdr:spPr bwMode="auto">
        <a:xfrm rot="-2289510">
          <a:off x="0" y="302294925"/>
          <a:ext cx="581025" cy="0"/>
        </a:xfrm>
        <a:prstGeom prst="rect">
          <a:avLst/>
        </a:prstGeom>
        <a:noFill/>
        <a:ln w="9525">
          <a:noFill/>
          <a:miter lim="800000"/>
          <a:headEnd/>
          <a:tailEnd/>
        </a:ln>
      </xdr:spPr>
    </xdr:pic>
    <xdr:clientData/>
  </xdr:twoCellAnchor>
  <xdr:twoCellAnchor>
    <xdr:from>
      <xdr:col>0</xdr:col>
      <xdr:colOff>0</xdr:colOff>
      <xdr:row>1373</xdr:row>
      <xdr:rowOff>0</xdr:rowOff>
    </xdr:from>
    <xdr:to>
      <xdr:col>1</xdr:col>
      <xdr:colOff>95250</xdr:colOff>
      <xdr:row>1373</xdr:row>
      <xdr:rowOff>0</xdr:rowOff>
    </xdr:to>
    <xdr:pic>
      <xdr:nvPicPr>
        <xdr:cNvPr id="1395" name="Picture 2" descr="026 copy"/>
        <xdr:cNvPicPr>
          <a:picLocks noChangeAspect="1" noChangeArrowheads="1"/>
        </xdr:cNvPicPr>
      </xdr:nvPicPr>
      <xdr:blipFill>
        <a:blip xmlns:r="http://schemas.openxmlformats.org/officeDocument/2006/relationships" r:embed="rId1"/>
        <a:srcRect/>
        <a:stretch>
          <a:fillRect/>
        </a:stretch>
      </xdr:blipFill>
      <xdr:spPr bwMode="auto">
        <a:xfrm rot="-2289510">
          <a:off x="0" y="303247425"/>
          <a:ext cx="581025" cy="0"/>
        </a:xfrm>
        <a:prstGeom prst="rect">
          <a:avLst/>
        </a:prstGeom>
        <a:noFill/>
        <a:ln w="9525">
          <a:noFill/>
          <a:miter lim="800000"/>
          <a:headEnd/>
          <a:tailEnd/>
        </a:ln>
      </xdr:spPr>
    </xdr:pic>
    <xdr:clientData/>
  </xdr:twoCellAnchor>
  <xdr:twoCellAnchor>
    <xdr:from>
      <xdr:col>0</xdr:col>
      <xdr:colOff>0</xdr:colOff>
      <xdr:row>1368</xdr:row>
      <xdr:rowOff>0</xdr:rowOff>
    </xdr:from>
    <xdr:to>
      <xdr:col>1</xdr:col>
      <xdr:colOff>95250</xdr:colOff>
      <xdr:row>1368</xdr:row>
      <xdr:rowOff>0</xdr:rowOff>
    </xdr:to>
    <xdr:pic>
      <xdr:nvPicPr>
        <xdr:cNvPr id="1396" name="Picture 3" descr="026 copy"/>
        <xdr:cNvPicPr>
          <a:picLocks noChangeAspect="1" noChangeArrowheads="1"/>
        </xdr:cNvPicPr>
      </xdr:nvPicPr>
      <xdr:blipFill>
        <a:blip xmlns:r="http://schemas.openxmlformats.org/officeDocument/2006/relationships" r:embed="rId1"/>
        <a:srcRect/>
        <a:stretch>
          <a:fillRect/>
        </a:stretch>
      </xdr:blipFill>
      <xdr:spPr bwMode="auto">
        <a:xfrm rot="-2289510">
          <a:off x="0" y="302294925"/>
          <a:ext cx="581025" cy="0"/>
        </a:xfrm>
        <a:prstGeom prst="rect">
          <a:avLst/>
        </a:prstGeom>
        <a:noFill/>
        <a:ln w="9525">
          <a:noFill/>
          <a:miter lim="800000"/>
          <a:headEnd/>
          <a:tailEnd/>
        </a:ln>
      </xdr:spPr>
    </xdr:pic>
    <xdr:clientData/>
  </xdr:twoCellAnchor>
  <xdr:twoCellAnchor>
    <xdr:from>
      <xdr:col>0</xdr:col>
      <xdr:colOff>0</xdr:colOff>
      <xdr:row>1373</xdr:row>
      <xdr:rowOff>0</xdr:rowOff>
    </xdr:from>
    <xdr:to>
      <xdr:col>1</xdr:col>
      <xdr:colOff>95250</xdr:colOff>
      <xdr:row>1373</xdr:row>
      <xdr:rowOff>0</xdr:rowOff>
    </xdr:to>
    <xdr:pic>
      <xdr:nvPicPr>
        <xdr:cNvPr id="1397" name="Picture 4" descr="026 copy"/>
        <xdr:cNvPicPr>
          <a:picLocks noChangeAspect="1" noChangeArrowheads="1"/>
        </xdr:cNvPicPr>
      </xdr:nvPicPr>
      <xdr:blipFill>
        <a:blip xmlns:r="http://schemas.openxmlformats.org/officeDocument/2006/relationships" r:embed="rId1"/>
        <a:srcRect/>
        <a:stretch>
          <a:fillRect/>
        </a:stretch>
      </xdr:blipFill>
      <xdr:spPr bwMode="auto">
        <a:xfrm rot="-2289510">
          <a:off x="0" y="303247425"/>
          <a:ext cx="581025" cy="0"/>
        </a:xfrm>
        <a:prstGeom prst="rect">
          <a:avLst/>
        </a:prstGeom>
        <a:noFill/>
        <a:ln w="9525">
          <a:noFill/>
          <a:miter lim="800000"/>
          <a:headEnd/>
          <a:tailEnd/>
        </a:ln>
      </xdr:spPr>
    </xdr:pic>
    <xdr:clientData/>
  </xdr:twoCellAnchor>
  <xdr:twoCellAnchor>
    <xdr:from>
      <xdr:col>0</xdr:col>
      <xdr:colOff>0</xdr:colOff>
      <xdr:row>1368</xdr:row>
      <xdr:rowOff>0</xdr:rowOff>
    </xdr:from>
    <xdr:to>
      <xdr:col>1</xdr:col>
      <xdr:colOff>95250</xdr:colOff>
      <xdr:row>1368</xdr:row>
      <xdr:rowOff>0</xdr:rowOff>
    </xdr:to>
    <xdr:pic>
      <xdr:nvPicPr>
        <xdr:cNvPr id="1398" name="Picture 9" descr="026 copy"/>
        <xdr:cNvPicPr>
          <a:picLocks noChangeAspect="1" noChangeArrowheads="1"/>
        </xdr:cNvPicPr>
      </xdr:nvPicPr>
      <xdr:blipFill>
        <a:blip xmlns:r="http://schemas.openxmlformats.org/officeDocument/2006/relationships" r:embed="rId1"/>
        <a:srcRect/>
        <a:stretch>
          <a:fillRect/>
        </a:stretch>
      </xdr:blipFill>
      <xdr:spPr bwMode="auto">
        <a:xfrm rot="-2289510">
          <a:off x="0" y="302294925"/>
          <a:ext cx="581025" cy="0"/>
        </a:xfrm>
        <a:prstGeom prst="rect">
          <a:avLst/>
        </a:prstGeom>
        <a:noFill/>
        <a:ln w="9525">
          <a:noFill/>
          <a:miter lim="800000"/>
          <a:headEnd/>
          <a:tailEnd/>
        </a:ln>
      </xdr:spPr>
    </xdr:pic>
    <xdr:clientData/>
  </xdr:twoCellAnchor>
  <xdr:twoCellAnchor>
    <xdr:from>
      <xdr:col>0</xdr:col>
      <xdr:colOff>0</xdr:colOff>
      <xdr:row>1373</xdr:row>
      <xdr:rowOff>0</xdr:rowOff>
    </xdr:from>
    <xdr:to>
      <xdr:col>1</xdr:col>
      <xdr:colOff>95250</xdr:colOff>
      <xdr:row>1373</xdr:row>
      <xdr:rowOff>0</xdr:rowOff>
    </xdr:to>
    <xdr:pic>
      <xdr:nvPicPr>
        <xdr:cNvPr id="1399" name="Picture 10" descr="026 copy"/>
        <xdr:cNvPicPr>
          <a:picLocks noChangeAspect="1" noChangeArrowheads="1"/>
        </xdr:cNvPicPr>
      </xdr:nvPicPr>
      <xdr:blipFill>
        <a:blip xmlns:r="http://schemas.openxmlformats.org/officeDocument/2006/relationships" r:embed="rId1"/>
        <a:srcRect/>
        <a:stretch>
          <a:fillRect/>
        </a:stretch>
      </xdr:blipFill>
      <xdr:spPr bwMode="auto">
        <a:xfrm rot="-2289510">
          <a:off x="0" y="303247425"/>
          <a:ext cx="581025" cy="0"/>
        </a:xfrm>
        <a:prstGeom prst="rect">
          <a:avLst/>
        </a:prstGeom>
        <a:noFill/>
        <a:ln w="9525">
          <a:noFill/>
          <a:miter lim="800000"/>
          <a:headEnd/>
          <a:tailEnd/>
        </a:ln>
      </xdr:spPr>
    </xdr:pic>
    <xdr:clientData/>
  </xdr:twoCellAnchor>
  <xdr:twoCellAnchor>
    <xdr:from>
      <xdr:col>0</xdr:col>
      <xdr:colOff>0</xdr:colOff>
      <xdr:row>1368</xdr:row>
      <xdr:rowOff>0</xdr:rowOff>
    </xdr:from>
    <xdr:to>
      <xdr:col>1</xdr:col>
      <xdr:colOff>95250</xdr:colOff>
      <xdr:row>1368</xdr:row>
      <xdr:rowOff>0</xdr:rowOff>
    </xdr:to>
    <xdr:pic>
      <xdr:nvPicPr>
        <xdr:cNvPr id="1400" name="Picture 11" descr="026 copy"/>
        <xdr:cNvPicPr>
          <a:picLocks noChangeAspect="1" noChangeArrowheads="1"/>
        </xdr:cNvPicPr>
      </xdr:nvPicPr>
      <xdr:blipFill>
        <a:blip xmlns:r="http://schemas.openxmlformats.org/officeDocument/2006/relationships" r:embed="rId1"/>
        <a:srcRect/>
        <a:stretch>
          <a:fillRect/>
        </a:stretch>
      </xdr:blipFill>
      <xdr:spPr bwMode="auto">
        <a:xfrm rot="-2289510">
          <a:off x="0" y="302294925"/>
          <a:ext cx="581025" cy="0"/>
        </a:xfrm>
        <a:prstGeom prst="rect">
          <a:avLst/>
        </a:prstGeom>
        <a:noFill/>
        <a:ln w="9525">
          <a:noFill/>
          <a:miter lim="800000"/>
          <a:headEnd/>
          <a:tailEnd/>
        </a:ln>
      </xdr:spPr>
    </xdr:pic>
    <xdr:clientData/>
  </xdr:twoCellAnchor>
  <xdr:twoCellAnchor>
    <xdr:from>
      <xdr:col>0</xdr:col>
      <xdr:colOff>0</xdr:colOff>
      <xdr:row>1373</xdr:row>
      <xdr:rowOff>0</xdr:rowOff>
    </xdr:from>
    <xdr:to>
      <xdr:col>1</xdr:col>
      <xdr:colOff>95250</xdr:colOff>
      <xdr:row>1373</xdr:row>
      <xdr:rowOff>0</xdr:rowOff>
    </xdr:to>
    <xdr:pic>
      <xdr:nvPicPr>
        <xdr:cNvPr id="1401" name="Picture 12" descr="026 copy"/>
        <xdr:cNvPicPr>
          <a:picLocks noChangeAspect="1" noChangeArrowheads="1"/>
        </xdr:cNvPicPr>
      </xdr:nvPicPr>
      <xdr:blipFill>
        <a:blip xmlns:r="http://schemas.openxmlformats.org/officeDocument/2006/relationships" r:embed="rId1"/>
        <a:srcRect/>
        <a:stretch>
          <a:fillRect/>
        </a:stretch>
      </xdr:blipFill>
      <xdr:spPr bwMode="auto">
        <a:xfrm rot="-2289510">
          <a:off x="0" y="303247425"/>
          <a:ext cx="581025" cy="0"/>
        </a:xfrm>
        <a:prstGeom prst="rect">
          <a:avLst/>
        </a:prstGeom>
        <a:noFill/>
        <a:ln w="9525">
          <a:noFill/>
          <a:miter lim="800000"/>
          <a:headEnd/>
          <a:tailEnd/>
        </a:ln>
      </xdr:spPr>
    </xdr:pic>
    <xdr:clientData/>
  </xdr:twoCellAnchor>
  <xdr:twoCellAnchor>
    <xdr:from>
      <xdr:col>1</xdr:col>
      <xdr:colOff>533400</xdr:colOff>
      <xdr:row>2</xdr:row>
      <xdr:rowOff>76200</xdr:rowOff>
    </xdr:from>
    <xdr:to>
      <xdr:col>1</xdr:col>
      <xdr:colOff>1562100</xdr:colOff>
      <xdr:row>2</xdr:row>
      <xdr:rowOff>76200</xdr:rowOff>
    </xdr:to>
    <xdr:sp macro="" textlink="">
      <xdr:nvSpPr>
        <xdr:cNvPr id="1402" name="Line 118"/>
        <xdr:cNvSpPr>
          <a:spLocks noChangeShapeType="1"/>
        </xdr:cNvSpPr>
      </xdr:nvSpPr>
      <xdr:spPr bwMode="auto">
        <a:xfrm>
          <a:off x="1019175" y="552450"/>
          <a:ext cx="1028700" cy="0"/>
        </a:xfrm>
        <a:prstGeom prst="line">
          <a:avLst/>
        </a:prstGeom>
        <a:noFill/>
        <a:ln w="9525">
          <a:solidFill>
            <a:srgbClr val="000000"/>
          </a:solidFill>
          <a:round/>
          <a:headEnd/>
          <a:tailEnd/>
        </a:ln>
      </xdr:spPr>
    </xdr:sp>
    <xdr:clientData/>
  </xdr:twoCellAnchor>
  <xdr:twoCellAnchor>
    <xdr:from>
      <xdr:col>1</xdr:col>
      <xdr:colOff>4791075</xdr:colOff>
      <xdr:row>2</xdr:row>
      <xdr:rowOff>57150</xdr:rowOff>
    </xdr:from>
    <xdr:to>
      <xdr:col>4</xdr:col>
      <xdr:colOff>352425</xdr:colOff>
      <xdr:row>2</xdr:row>
      <xdr:rowOff>57150</xdr:rowOff>
    </xdr:to>
    <xdr:sp macro="" textlink="">
      <xdr:nvSpPr>
        <xdr:cNvPr id="1403" name="Line 118"/>
        <xdr:cNvSpPr>
          <a:spLocks noChangeShapeType="1"/>
        </xdr:cNvSpPr>
      </xdr:nvSpPr>
      <xdr:spPr bwMode="auto">
        <a:xfrm>
          <a:off x="5276850" y="533400"/>
          <a:ext cx="1743075" cy="0"/>
        </a:xfrm>
        <a:prstGeom prst="line">
          <a:avLst/>
        </a:prstGeom>
        <a:noFill/>
        <a:ln w="9525">
          <a:solidFill>
            <a:srgbClr val="000000"/>
          </a:solidFill>
          <a:round/>
          <a:headEnd/>
          <a:tailEnd/>
        </a:ln>
      </xdr:spPr>
    </xdr:sp>
    <xdr:clientData/>
  </xdr:twoCellAnchor>
  <xdr:twoCellAnchor>
    <xdr:from>
      <xdr:col>1</xdr:col>
      <xdr:colOff>381000</xdr:colOff>
      <xdr:row>1712</xdr:row>
      <xdr:rowOff>66675</xdr:rowOff>
    </xdr:from>
    <xdr:to>
      <xdr:col>1</xdr:col>
      <xdr:colOff>3343275</xdr:colOff>
      <xdr:row>1721</xdr:row>
      <xdr:rowOff>95250</xdr:rowOff>
    </xdr:to>
    <xdr:pic>
      <xdr:nvPicPr>
        <xdr:cNvPr id="1404" name="Picture 1524"/>
        <xdr:cNvPicPr>
          <a:picLocks noChangeAspect="1" noChangeArrowheads="1"/>
        </xdr:cNvPicPr>
      </xdr:nvPicPr>
      <xdr:blipFill>
        <a:blip xmlns:r="http://schemas.openxmlformats.org/officeDocument/2006/relationships" r:embed="rId2" cstate="print"/>
        <a:srcRect/>
        <a:stretch>
          <a:fillRect/>
        </a:stretch>
      </xdr:blipFill>
      <xdr:spPr bwMode="auto">
        <a:xfrm>
          <a:off x="866775" y="375056400"/>
          <a:ext cx="2962275" cy="2171700"/>
        </a:xfrm>
        <a:prstGeom prst="rect">
          <a:avLst/>
        </a:prstGeom>
        <a:noFill/>
        <a:ln w="9525">
          <a:noFill/>
          <a:miter lim="800000"/>
          <a:headEnd/>
          <a:tailEnd/>
        </a:ln>
      </xdr:spPr>
    </xdr:pic>
    <xdr:clientData/>
  </xdr:twoCellAnchor>
  <xdr:twoCellAnchor>
    <xdr:from>
      <xdr:col>1</xdr:col>
      <xdr:colOff>4829175</xdr:colOff>
      <xdr:row>1713</xdr:row>
      <xdr:rowOff>200025</xdr:rowOff>
    </xdr:from>
    <xdr:to>
      <xdr:col>5</xdr:col>
      <xdr:colOff>238125</xdr:colOff>
      <xdr:row>1721</xdr:row>
      <xdr:rowOff>9525</xdr:rowOff>
    </xdr:to>
    <xdr:pic>
      <xdr:nvPicPr>
        <xdr:cNvPr id="1405" name="Picture 1525"/>
        <xdr:cNvPicPr>
          <a:picLocks noChangeAspect="1" noChangeArrowheads="1"/>
        </xdr:cNvPicPr>
      </xdr:nvPicPr>
      <xdr:blipFill>
        <a:blip xmlns:r="http://schemas.openxmlformats.org/officeDocument/2006/relationships" r:embed="rId3" cstate="print"/>
        <a:srcRect/>
        <a:stretch>
          <a:fillRect/>
        </a:stretch>
      </xdr:blipFill>
      <xdr:spPr bwMode="auto">
        <a:xfrm>
          <a:off x="5314950" y="375427875"/>
          <a:ext cx="2590800" cy="1714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730"/>
  <sheetViews>
    <sheetView tabSelected="1" view="pageBreakPreview" topLeftCell="A1709" zoomScale="115" zoomScaleSheetLayoutView="115" workbookViewId="0">
      <selection activeCell="L1730" sqref="L1730"/>
    </sheetView>
  </sheetViews>
  <sheetFormatPr defaultColWidth="8.7109375" defaultRowHeight="15"/>
  <cols>
    <col min="1" max="1" width="7.28515625" style="168" customWidth="1"/>
    <col min="2" max="2" width="72.5703125" style="168" customWidth="1"/>
    <col min="3" max="3" width="10" style="168" bestFit="1" customWidth="1"/>
    <col min="4" max="4" width="10.140625" style="168" customWidth="1"/>
    <col min="5" max="5" width="15" style="168" customWidth="1"/>
    <col min="6" max="6" width="15.28515625" style="168" customWidth="1"/>
    <col min="7" max="16384" width="8.7109375" style="168"/>
  </cols>
  <sheetData>
    <row r="1" spans="1:7" ht="18.75">
      <c r="A1" s="223" t="s">
        <v>1668</v>
      </c>
      <c r="B1" s="224"/>
      <c r="C1" s="224"/>
      <c r="D1" s="224"/>
      <c r="E1" s="224"/>
      <c r="F1" s="224"/>
    </row>
    <row r="2" spans="1:7" ht="18.75">
      <c r="A2" s="225" t="s">
        <v>1665</v>
      </c>
      <c r="B2" s="226"/>
      <c r="C2" s="226"/>
      <c r="D2" s="226"/>
      <c r="E2" s="226"/>
      <c r="F2" s="226"/>
    </row>
    <row r="3" spans="1:7">
      <c r="A3" s="227"/>
      <c r="B3" s="228"/>
      <c r="C3" s="228"/>
      <c r="D3" s="228"/>
      <c r="E3" s="228"/>
      <c r="F3" s="228"/>
    </row>
    <row r="4" spans="1:7" ht="18.75">
      <c r="A4" s="229" t="s">
        <v>1671</v>
      </c>
      <c r="B4" s="226"/>
      <c r="C4" s="226"/>
      <c r="D4" s="226"/>
      <c r="E4" s="226"/>
      <c r="F4" s="226"/>
    </row>
    <row r="5" spans="1:7" ht="18.75">
      <c r="A5" s="174"/>
      <c r="B5" s="1"/>
      <c r="C5" s="1"/>
      <c r="D5" s="1"/>
      <c r="E5" s="1"/>
      <c r="F5" s="1"/>
    </row>
    <row r="6" spans="1:7" ht="22.5">
      <c r="A6" s="207" t="s">
        <v>0</v>
      </c>
      <c r="B6" s="207"/>
      <c r="C6" s="207"/>
      <c r="D6" s="207"/>
      <c r="E6" s="207"/>
      <c r="F6" s="207"/>
    </row>
    <row r="7" spans="1:7" ht="19.5">
      <c r="A7" s="208" t="s">
        <v>1</v>
      </c>
      <c r="B7" s="209"/>
      <c r="C7" s="209"/>
      <c r="D7" s="209"/>
      <c r="E7" s="209"/>
      <c r="F7" s="209"/>
    </row>
    <row r="8" spans="1:7" ht="19.5">
      <c r="A8" s="208" t="s">
        <v>2</v>
      </c>
      <c r="B8" s="209"/>
      <c r="C8" s="209"/>
      <c r="D8" s="209"/>
      <c r="E8" s="209"/>
      <c r="F8" s="209"/>
    </row>
    <row r="9" spans="1:7" ht="19.5">
      <c r="A9" s="2"/>
      <c r="B9" s="3"/>
      <c r="C9" s="3"/>
      <c r="D9" s="3"/>
      <c r="E9" s="3"/>
      <c r="F9" s="3"/>
    </row>
    <row r="10" spans="1:7" ht="33.950000000000003" customHeight="1">
      <c r="A10" s="210" t="s">
        <v>3</v>
      </c>
      <c r="B10" s="210"/>
      <c r="C10" s="210"/>
      <c r="D10" s="210"/>
      <c r="E10" s="210"/>
      <c r="F10" s="210"/>
    </row>
    <row r="11" spans="1:7" ht="35.1" customHeight="1">
      <c r="A11" s="210" t="s">
        <v>4</v>
      </c>
      <c r="B11" s="210"/>
      <c r="C11" s="210"/>
      <c r="D11" s="210"/>
      <c r="E11" s="210"/>
      <c r="F11" s="210"/>
    </row>
    <row r="12" spans="1:7" ht="15.75">
      <c r="A12" s="4"/>
      <c r="B12" s="5"/>
      <c r="C12" s="5"/>
      <c r="D12" s="5"/>
      <c r="E12" s="5"/>
      <c r="F12" s="5"/>
    </row>
    <row r="13" spans="1:7" s="169" customFormat="1" ht="15.75">
      <c r="A13" s="216" t="s">
        <v>5</v>
      </c>
      <c r="B13" s="219" t="s">
        <v>6</v>
      </c>
      <c r="C13" s="219" t="s">
        <v>7</v>
      </c>
      <c r="D13" s="215" t="s">
        <v>8</v>
      </c>
      <c r="E13" s="215"/>
      <c r="F13" s="215"/>
      <c r="G13" s="168"/>
    </row>
    <row r="14" spans="1:7" s="169" customFormat="1" ht="15.75">
      <c r="A14" s="217"/>
      <c r="B14" s="220"/>
      <c r="C14" s="220"/>
      <c r="D14" s="219" t="s">
        <v>9</v>
      </c>
      <c r="E14" s="215" t="s">
        <v>10</v>
      </c>
      <c r="F14" s="215"/>
      <c r="G14" s="168"/>
    </row>
    <row r="15" spans="1:7" s="169" customFormat="1" ht="31.5">
      <c r="A15" s="218"/>
      <c r="B15" s="221"/>
      <c r="C15" s="221"/>
      <c r="D15" s="221"/>
      <c r="E15" s="182" t="s">
        <v>11</v>
      </c>
      <c r="F15" s="182" t="s">
        <v>12</v>
      </c>
      <c r="G15" s="168"/>
    </row>
    <row r="16" spans="1:7" s="169" customFormat="1" ht="15.75">
      <c r="A16" s="180" t="s">
        <v>13</v>
      </c>
      <c r="B16" s="181" t="s">
        <v>14</v>
      </c>
      <c r="C16" s="24"/>
      <c r="D16" s="24"/>
      <c r="E16" s="25"/>
      <c r="F16" s="26"/>
      <c r="G16" s="168"/>
    </row>
    <row r="17" spans="1:12" s="169" customFormat="1" ht="31.5">
      <c r="A17" s="27"/>
      <c r="B17" s="179" t="s">
        <v>15</v>
      </c>
      <c r="C17" s="28"/>
      <c r="D17" s="28"/>
      <c r="E17" s="29"/>
      <c r="F17" s="30"/>
      <c r="G17" s="168"/>
    </row>
    <row r="18" spans="1:12" s="169" customFormat="1" ht="53.1" customHeight="1">
      <c r="A18" s="27"/>
      <c r="B18" s="214" t="s">
        <v>16</v>
      </c>
      <c r="C18" s="214"/>
      <c r="D18" s="214"/>
      <c r="E18" s="214"/>
      <c r="F18" s="214"/>
      <c r="G18" s="168"/>
      <c r="L18" s="170"/>
    </row>
    <row r="19" spans="1:12" s="169" customFormat="1" ht="18.75">
      <c r="A19" s="31">
        <v>1</v>
      </c>
      <c r="B19" s="6" t="s">
        <v>17</v>
      </c>
      <c r="C19" s="10" t="s">
        <v>18</v>
      </c>
      <c r="D19" s="104">
        <f>216000+6000+22200</f>
        <v>244200</v>
      </c>
      <c r="E19" s="105"/>
      <c r="F19" s="105"/>
      <c r="G19" s="168"/>
      <c r="L19" s="171"/>
    </row>
    <row r="20" spans="1:12" s="169" customFormat="1" ht="18.75">
      <c r="A20" s="31">
        <f t="shared" ref="A20:A28" si="0">+A19+1</f>
        <v>2</v>
      </c>
      <c r="B20" s="6" t="s">
        <v>19</v>
      </c>
      <c r="C20" s="10" t="s">
        <v>18</v>
      </c>
      <c r="D20" s="104">
        <f>206000+6000+21200</f>
        <v>233200</v>
      </c>
      <c r="E20" s="105"/>
      <c r="F20" s="105"/>
      <c r="G20" s="168"/>
      <c r="L20" s="171"/>
    </row>
    <row r="21" spans="1:12" s="169" customFormat="1" ht="18.75">
      <c r="A21" s="31">
        <f t="shared" si="0"/>
        <v>3</v>
      </c>
      <c r="B21" s="6" t="s">
        <v>20</v>
      </c>
      <c r="C21" s="10" t="s">
        <v>18</v>
      </c>
      <c r="D21" s="104">
        <f>169000+6000+17500</f>
        <v>192500</v>
      </c>
      <c r="E21" s="105"/>
      <c r="F21" s="105"/>
      <c r="G21" s="168"/>
    </row>
    <row r="22" spans="1:12" s="169" customFormat="1" ht="18.75">
      <c r="A22" s="31">
        <f t="shared" si="0"/>
        <v>4</v>
      </c>
      <c r="B22" s="6" t="s">
        <v>21</v>
      </c>
      <c r="C22" s="10" t="s">
        <v>18</v>
      </c>
      <c r="D22" s="104">
        <f>167000+6000+17300</f>
        <v>190300</v>
      </c>
      <c r="E22" s="105"/>
      <c r="F22" s="105"/>
      <c r="G22" s="168"/>
    </row>
    <row r="23" spans="1:12" s="169" customFormat="1" ht="18.75">
      <c r="A23" s="31">
        <f t="shared" si="0"/>
        <v>5</v>
      </c>
      <c r="B23" s="6" t="s">
        <v>22</v>
      </c>
      <c r="C23" s="10" t="s">
        <v>18</v>
      </c>
      <c r="D23" s="104">
        <f>175000+6000+18100</f>
        <v>199100</v>
      </c>
      <c r="E23" s="105"/>
      <c r="F23" s="105"/>
      <c r="G23" s="168"/>
    </row>
    <row r="24" spans="1:12" s="169" customFormat="1" ht="18.75">
      <c r="A24" s="31">
        <f t="shared" si="0"/>
        <v>6</v>
      </c>
      <c r="B24" s="6" t="s">
        <v>23</v>
      </c>
      <c r="C24" s="10" t="s">
        <v>18</v>
      </c>
      <c r="D24" s="104">
        <f>137000+6000+14300</f>
        <v>157300</v>
      </c>
      <c r="E24" s="105"/>
      <c r="F24" s="105"/>
      <c r="G24" s="168"/>
    </row>
    <row r="25" spans="1:12" s="169" customFormat="1" ht="18.75">
      <c r="A25" s="31">
        <f t="shared" si="0"/>
        <v>7</v>
      </c>
      <c r="B25" s="6" t="s">
        <v>24</v>
      </c>
      <c r="C25" s="10" t="s">
        <v>18</v>
      </c>
      <c r="D25" s="104">
        <f>145000+6000+15100</f>
        <v>166100</v>
      </c>
      <c r="E25" s="105"/>
      <c r="F25" s="105"/>
      <c r="G25" s="168"/>
    </row>
    <row r="26" spans="1:12" s="169" customFormat="1" ht="18.75">
      <c r="A26" s="31">
        <f t="shared" si="0"/>
        <v>8</v>
      </c>
      <c r="B26" s="6" t="s">
        <v>25</v>
      </c>
      <c r="C26" s="10" t="s">
        <v>18</v>
      </c>
      <c r="D26" s="104">
        <f>62000+6000+6800</f>
        <v>74800</v>
      </c>
      <c r="E26" s="105"/>
      <c r="F26" s="105"/>
      <c r="G26" s="168"/>
    </row>
    <row r="27" spans="1:12" s="169" customFormat="1" ht="18.75">
      <c r="A27" s="31">
        <f t="shared" si="0"/>
        <v>9</v>
      </c>
      <c r="B27" s="6" t="s">
        <v>26</v>
      </c>
      <c r="C27" s="10" t="s">
        <v>18</v>
      </c>
      <c r="D27" s="104">
        <f>117000+6000+12300</f>
        <v>135300</v>
      </c>
      <c r="E27" s="105"/>
      <c r="F27" s="105"/>
      <c r="G27" s="168"/>
    </row>
    <row r="28" spans="1:12" s="169" customFormat="1" ht="18.75">
      <c r="A28" s="32">
        <f t="shared" si="0"/>
        <v>10</v>
      </c>
      <c r="B28" s="7" t="s">
        <v>27</v>
      </c>
      <c r="C28" s="33" t="s">
        <v>18</v>
      </c>
      <c r="D28" s="106">
        <f>171000+13000+18400</f>
        <v>202400</v>
      </c>
      <c r="E28" s="107"/>
      <c r="F28" s="107"/>
      <c r="G28" s="168"/>
    </row>
    <row r="29" spans="1:12" s="169" customFormat="1">
      <c r="A29" s="34"/>
      <c r="B29" s="76" t="s">
        <v>28</v>
      </c>
      <c r="C29" s="35"/>
      <c r="D29" s="108"/>
      <c r="E29" s="108"/>
      <c r="F29" s="108"/>
      <c r="G29" s="168"/>
    </row>
    <row r="30" spans="1:12" s="169" customFormat="1" ht="36" customHeight="1">
      <c r="A30" s="31"/>
      <c r="B30" s="214" t="s">
        <v>29</v>
      </c>
      <c r="C30" s="214"/>
      <c r="D30" s="214"/>
      <c r="E30" s="214"/>
      <c r="F30" s="214"/>
      <c r="G30" s="168"/>
    </row>
    <row r="31" spans="1:12" s="169" customFormat="1" ht="18.75">
      <c r="A31" s="31">
        <v>1</v>
      </c>
      <c r="B31" s="6" t="s">
        <v>30</v>
      </c>
      <c r="C31" s="10" t="s">
        <v>18</v>
      </c>
      <c r="D31" s="104">
        <f>214000+6000+22000</f>
        <v>242000</v>
      </c>
      <c r="E31" s="105"/>
      <c r="F31" s="105"/>
      <c r="G31" s="168"/>
    </row>
    <row r="32" spans="1:12" s="169" customFormat="1" ht="18.75">
      <c r="A32" s="31">
        <f t="shared" ref="A32:A43" si="1">+A31+1</f>
        <v>2</v>
      </c>
      <c r="B32" s="6" t="s">
        <v>31</v>
      </c>
      <c r="C32" s="10" t="s">
        <v>18</v>
      </c>
      <c r="D32" s="104">
        <f>209000+6000+21500</f>
        <v>236500</v>
      </c>
      <c r="E32" s="105"/>
      <c r="F32" s="105"/>
      <c r="G32" s="168"/>
    </row>
    <row r="33" spans="1:7" s="169" customFormat="1" ht="18.75">
      <c r="A33" s="31">
        <f t="shared" si="1"/>
        <v>3</v>
      </c>
      <c r="B33" s="6" t="s">
        <v>32</v>
      </c>
      <c r="C33" s="10" t="s">
        <v>18</v>
      </c>
      <c r="D33" s="104">
        <f>204000+6000+21000</f>
        <v>231000</v>
      </c>
      <c r="E33" s="105"/>
      <c r="F33" s="105"/>
      <c r="G33" s="168"/>
    </row>
    <row r="34" spans="1:7" s="169" customFormat="1" ht="18.75">
      <c r="A34" s="31">
        <f t="shared" si="1"/>
        <v>4</v>
      </c>
      <c r="B34" s="6" t="s">
        <v>20</v>
      </c>
      <c r="C34" s="10" t="s">
        <v>18</v>
      </c>
      <c r="D34" s="104">
        <f>169000+6000+17500</f>
        <v>192500</v>
      </c>
      <c r="E34" s="105"/>
      <c r="F34" s="105"/>
      <c r="G34" s="168"/>
    </row>
    <row r="35" spans="1:7" s="169" customFormat="1" ht="18.75">
      <c r="A35" s="31">
        <f t="shared" si="1"/>
        <v>5</v>
      </c>
      <c r="B35" s="6" t="s">
        <v>33</v>
      </c>
      <c r="C35" s="10" t="s">
        <v>18</v>
      </c>
      <c r="D35" s="104">
        <f>167000+6000+17300</f>
        <v>190300</v>
      </c>
      <c r="E35" s="105"/>
      <c r="F35" s="105"/>
      <c r="G35" s="168"/>
    </row>
    <row r="36" spans="1:7" s="169" customFormat="1" ht="18.75">
      <c r="A36" s="31">
        <f t="shared" si="1"/>
        <v>6</v>
      </c>
      <c r="B36" s="6" t="s">
        <v>22</v>
      </c>
      <c r="C36" s="10" t="s">
        <v>18</v>
      </c>
      <c r="D36" s="104">
        <f>158000+6000+16400</f>
        <v>180400</v>
      </c>
      <c r="E36" s="105"/>
      <c r="F36" s="105"/>
      <c r="G36" s="168"/>
    </row>
    <row r="37" spans="1:7" s="169" customFormat="1" ht="18.75">
      <c r="A37" s="31">
        <f t="shared" si="1"/>
        <v>7</v>
      </c>
      <c r="B37" s="6" t="s">
        <v>34</v>
      </c>
      <c r="C37" s="10" t="s">
        <v>18</v>
      </c>
      <c r="D37" s="104">
        <f>120000+6000+12600</f>
        <v>138600</v>
      </c>
      <c r="E37" s="105"/>
      <c r="F37" s="105"/>
      <c r="G37" s="168"/>
    </row>
    <row r="38" spans="1:7" s="169" customFormat="1" ht="18.75">
      <c r="A38" s="31">
        <f t="shared" si="1"/>
        <v>8</v>
      </c>
      <c r="B38" s="6" t="s">
        <v>35</v>
      </c>
      <c r="C38" s="10" t="s">
        <v>18</v>
      </c>
      <c r="D38" s="104">
        <f>128000+6000+13400</f>
        <v>147400</v>
      </c>
      <c r="E38" s="105"/>
      <c r="F38" s="105"/>
      <c r="G38" s="168"/>
    </row>
    <row r="39" spans="1:7" s="169" customFormat="1" ht="18.75">
      <c r="A39" s="31">
        <f t="shared" si="1"/>
        <v>9</v>
      </c>
      <c r="B39" s="6" t="s">
        <v>36</v>
      </c>
      <c r="C39" s="10" t="s">
        <v>18</v>
      </c>
      <c r="D39" s="104">
        <f>80000+6000+8600</f>
        <v>94600</v>
      </c>
      <c r="E39" s="105"/>
      <c r="F39" s="105"/>
      <c r="G39" s="168"/>
    </row>
    <row r="40" spans="1:7" s="169" customFormat="1" ht="18.75">
      <c r="A40" s="31">
        <f t="shared" si="1"/>
        <v>10</v>
      </c>
      <c r="B40" s="6" t="s">
        <v>37</v>
      </c>
      <c r="C40" s="10" t="s">
        <v>18</v>
      </c>
      <c r="D40" s="104">
        <f>80000+6000+8600</f>
        <v>94600</v>
      </c>
      <c r="E40" s="105"/>
      <c r="F40" s="105"/>
      <c r="G40" s="168"/>
    </row>
    <row r="41" spans="1:7" s="169" customFormat="1" ht="18.75">
      <c r="A41" s="31">
        <f t="shared" si="1"/>
        <v>11</v>
      </c>
      <c r="B41" s="6" t="s">
        <v>25</v>
      </c>
      <c r="C41" s="10" t="s">
        <v>18</v>
      </c>
      <c r="D41" s="104">
        <v>66000</v>
      </c>
      <c r="E41" s="105"/>
      <c r="F41" s="105"/>
      <c r="G41" s="168"/>
    </row>
    <row r="42" spans="1:7" s="169" customFormat="1" ht="18.75">
      <c r="A42" s="31">
        <f t="shared" si="1"/>
        <v>12</v>
      </c>
      <c r="B42" s="6" t="s">
        <v>38</v>
      </c>
      <c r="C42" s="10" t="s">
        <v>18</v>
      </c>
      <c r="D42" s="104">
        <v>77000</v>
      </c>
      <c r="E42" s="105"/>
      <c r="F42" s="105"/>
      <c r="G42" s="168"/>
    </row>
    <row r="43" spans="1:7" s="169" customFormat="1" ht="18.75">
      <c r="A43" s="32">
        <f t="shared" si="1"/>
        <v>13</v>
      </c>
      <c r="B43" s="7" t="s">
        <v>39</v>
      </c>
      <c r="C43" s="33" t="s">
        <v>18</v>
      </c>
      <c r="D43" s="106">
        <v>220000</v>
      </c>
      <c r="E43" s="107"/>
      <c r="F43" s="107"/>
      <c r="G43" s="168"/>
    </row>
    <row r="44" spans="1:7" s="169" customFormat="1" ht="28.5" customHeight="1">
      <c r="A44" s="34"/>
      <c r="B44" s="214" t="s">
        <v>40</v>
      </c>
      <c r="C44" s="214"/>
      <c r="D44" s="214"/>
      <c r="E44" s="214"/>
      <c r="F44" s="214"/>
      <c r="G44" s="168"/>
    </row>
    <row r="45" spans="1:7" s="169" customFormat="1" ht="15" customHeight="1">
      <c r="A45" s="34">
        <v>1</v>
      </c>
      <c r="B45" s="6" t="s">
        <v>41</v>
      </c>
      <c r="C45" s="10" t="s">
        <v>42</v>
      </c>
      <c r="D45" s="104">
        <v>258500</v>
      </c>
      <c r="E45" s="104"/>
      <c r="F45" s="104"/>
      <c r="G45" s="168"/>
    </row>
    <row r="46" spans="1:7" s="169" customFormat="1" ht="16.5">
      <c r="A46" s="34">
        <v>2</v>
      </c>
      <c r="B46" s="6" t="s">
        <v>43</v>
      </c>
      <c r="C46" s="10" t="s">
        <v>42</v>
      </c>
      <c r="D46" s="104">
        <v>253000</v>
      </c>
      <c r="E46" s="104"/>
      <c r="F46" s="104"/>
      <c r="G46" s="168"/>
    </row>
    <row r="47" spans="1:7" s="169" customFormat="1" ht="16.5">
      <c r="A47" s="31">
        <v>3</v>
      </c>
      <c r="B47" s="6" t="s">
        <v>44</v>
      </c>
      <c r="C47" s="10" t="s">
        <v>42</v>
      </c>
      <c r="D47" s="104">
        <v>242000</v>
      </c>
      <c r="E47" s="104"/>
      <c r="F47" s="104"/>
      <c r="G47" s="168"/>
    </row>
    <row r="48" spans="1:7" s="169" customFormat="1" ht="16.5">
      <c r="A48" s="34">
        <v>4</v>
      </c>
      <c r="B48" s="77" t="s">
        <v>45</v>
      </c>
      <c r="C48" s="36" t="s">
        <v>42</v>
      </c>
      <c r="D48" s="108">
        <v>187000</v>
      </c>
      <c r="E48" s="108"/>
      <c r="F48" s="108"/>
      <c r="G48" s="168"/>
    </row>
    <row r="49" spans="1:7" s="169" customFormat="1" ht="16.5">
      <c r="A49" s="34">
        <v>5</v>
      </c>
      <c r="B49" s="6" t="s">
        <v>46</v>
      </c>
      <c r="C49" s="10" t="s">
        <v>42</v>
      </c>
      <c r="D49" s="104">
        <v>183700</v>
      </c>
      <c r="E49" s="104"/>
      <c r="F49" s="104"/>
      <c r="G49" s="168"/>
    </row>
    <row r="50" spans="1:7" s="169" customFormat="1" ht="16.5">
      <c r="A50" s="34">
        <v>6</v>
      </c>
      <c r="B50" s="6" t="s">
        <v>47</v>
      </c>
      <c r="C50" s="10" t="s">
        <v>42</v>
      </c>
      <c r="D50" s="104">
        <v>173800</v>
      </c>
      <c r="E50" s="104"/>
      <c r="F50" s="104"/>
      <c r="G50" s="168"/>
    </row>
    <row r="51" spans="1:7" s="169" customFormat="1" ht="16.5">
      <c r="A51" s="34">
        <v>7</v>
      </c>
      <c r="B51" s="6" t="s">
        <v>48</v>
      </c>
      <c r="C51" s="10" t="s">
        <v>42</v>
      </c>
      <c r="D51" s="104">
        <v>165000</v>
      </c>
      <c r="E51" s="104"/>
      <c r="F51" s="104"/>
      <c r="G51" s="168"/>
    </row>
    <row r="52" spans="1:7" s="169" customFormat="1" ht="16.5">
      <c r="A52" s="34">
        <v>8</v>
      </c>
      <c r="B52" s="6" t="s">
        <v>49</v>
      </c>
      <c r="C52" s="10" t="s">
        <v>42</v>
      </c>
      <c r="D52" s="104">
        <v>165000</v>
      </c>
      <c r="E52" s="104"/>
      <c r="F52" s="104"/>
      <c r="G52" s="168"/>
    </row>
    <row r="53" spans="1:7" s="169" customFormat="1" ht="16.5">
      <c r="A53" s="34">
        <v>9</v>
      </c>
      <c r="B53" s="6" t="s">
        <v>50</v>
      </c>
      <c r="C53" s="10" t="s">
        <v>42</v>
      </c>
      <c r="D53" s="104">
        <v>134200</v>
      </c>
      <c r="E53" s="104"/>
      <c r="F53" s="104"/>
      <c r="G53" s="168"/>
    </row>
    <row r="54" spans="1:7" s="169" customFormat="1" ht="16.5">
      <c r="A54" s="34">
        <v>10</v>
      </c>
      <c r="B54" s="6" t="s">
        <v>51</v>
      </c>
      <c r="C54" s="10" t="s">
        <v>42</v>
      </c>
      <c r="D54" s="104">
        <v>132000</v>
      </c>
      <c r="E54" s="104"/>
      <c r="F54" s="104"/>
      <c r="G54" s="168"/>
    </row>
    <row r="55" spans="1:7" s="169" customFormat="1" ht="16.5">
      <c r="A55" s="34">
        <v>11</v>
      </c>
      <c r="B55" s="6" t="s">
        <v>52</v>
      </c>
      <c r="C55" s="10" t="s">
        <v>42</v>
      </c>
      <c r="D55" s="104">
        <v>168300</v>
      </c>
      <c r="E55" s="104"/>
      <c r="F55" s="104"/>
      <c r="G55" s="168"/>
    </row>
    <row r="56" spans="1:7" s="169" customFormat="1" ht="16.5">
      <c r="A56" s="34">
        <v>12</v>
      </c>
      <c r="B56" s="6" t="s">
        <v>53</v>
      </c>
      <c r="C56" s="10" t="s">
        <v>42</v>
      </c>
      <c r="D56" s="104">
        <v>286000</v>
      </c>
      <c r="E56" s="104"/>
      <c r="F56" s="104"/>
      <c r="G56" s="168"/>
    </row>
    <row r="57" spans="1:7" s="169" customFormat="1" ht="16.5">
      <c r="A57" s="31">
        <v>13</v>
      </c>
      <c r="B57" s="6" t="s">
        <v>54</v>
      </c>
      <c r="C57" s="10" t="s">
        <v>42</v>
      </c>
      <c r="D57" s="104">
        <v>302500</v>
      </c>
      <c r="E57" s="104"/>
      <c r="F57" s="104"/>
      <c r="G57" s="168"/>
    </row>
    <row r="58" spans="1:7" s="169" customFormat="1" ht="16.5">
      <c r="A58" s="37">
        <v>14</v>
      </c>
      <c r="B58" s="78" t="s">
        <v>55</v>
      </c>
      <c r="C58" s="38" t="s">
        <v>42</v>
      </c>
      <c r="D58" s="109">
        <v>110000</v>
      </c>
      <c r="E58" s="109"/>
      <c r="F58" s="109"/>
      <c r="G58" s="168"/>
    </row>
    <row r="59" spans="1:7" s="169" customFormat="1" ht="51" customHeight="1">
      <c r="A59" s="40"/>
      <c r="B59" s="214" t="s">
        <v>56</v>
      </c>
      <c r="C59" s="214"/>
      <c r="D59" s="214"/>
      <c r="E59" s="214"/>
      <c r="F59" s="214"/>
      <c r="G59" s="168"/>
    </row>
    <row r="60" spans="1:7" s="169" customFormat="1" ht="18.75">
      <c r="A60" s="10">
        <v>1</v>
      </c>
      <c r="B60" s="6" t="s">
        <v>17</v>
      </c>
      <c r="C60" s="10" t="s">
        <v>18</v>
      </c>
      <c r="D60" s="104">
        <v>226500</v>
      </c>
      <c r="E60" s="110"/>
      <c r="F60" s="110"/>
      <c r="G60" s="168"/>
    </row>
    <row r="61" spans="1:7" s="169" customFormat="1" ht="18.75">
      <c r="A61" s="10">
        <f t="shared" ref="A61:A66" si="2">+A60+1</f>
        <v>2</v>
      </c>
      <c r="B61" s="6" t="s">
        <v>57</v>
      </c>
      <c r="C61" s="10" t="s">
        <v>18</v>
      </c>
      <c r="D61" s="104">
        <v>140000</v>
      </c>
      <c r="E61" s="110"/>
      <c r="F61" s="110"/>
      <c r="G61" s="168"/>
    </row>
    <row r="62" spans="1:7" s="169" customFormat="1" ht="18.75">
      <c r="A62" s="10">
        <f t="shared" si="2"/>
        <v>3</v>
      </c>
      <c r="B62" s="6" t="s">
        <v>58</v>
      </c>
      <c r="C62" s="10" t="s">
        <v>18</v>
      </c>
      <c r="D62" s="104">
        <v>172500</v>
      </c>
      <c r="E62" s="110"/>
      <c r="F62" s="110"/>
      <c r="G62" s="168"/>
    </row>
    <row r="63" spans="1:7" s="169" customFormat="1" ht="18.75">
      <c r="A63" s="10">
        <f t="shared" si="2"/>
        <v>4</v>
      </c>
      <c r="B63" s="6" t="s">
        <v>59</v>
      </c>
      <c r="C63" s="10" t="s">
        <v>18</v>
      </c>
      <c r="D63" s="104">
        <v>172500</v>
      </c>
      <c r="E63" s="110"/>
      <c r="F63" s="110"/>
      <c r="G63" s="168"/>
    </row>
    <row r="64" spans="1:7" s="169" customFormat="1" ht="18.75">
      <c r="A64" s="10">
        <f t="shared" si="2"/>
        <v>5</v>
      </c>
      <c r="B64" s="6" t="s">
        <v>60</v>
      </c>
      <c r="C64" s="10" t="s">
        <v>18</v>
      </c>
      <c r="D64" s="104">
        <v>65000</v>
      </c>
      <c r="E64" s="110"/>
      <c r="F64" s="110"/>
      <c r="G64" s="168"/>
    </row>
    <row r="65" spans="1:7" s="169" customFormat="1" ht="18.75">
      <c r="A65" s="10">
        <f t="shared" si="2"/>
        <v>6</v>
      </c>
      <c r="B65" s="6" t="s">
        <v>61</v>
      </c>
      <c r="C65" s="10" t="s">
        <v>18</v>
      </c>
      <c r="D65" s="104">
        <v>80000</v>
      </c>
      <c r="E65" s="110"/>
      <c r="F65" s="110"/>
      <c r="G65" s="168"/>
    </row>
    <row r="66" spans="1:7" s="169" customFormat="1" ht="18.75">
      <c r="A66" s="37">
        <f t="shared" si="2"/>
        <v>7</v>
      </c>
      <c r="B66" s="78" t="s">
        <v>27</v>
      </c>
      <c r="C66" s="38" t="s">
        <v>18</v>
      </c>
      <c r="D66" s="109">
        <v>153000</v>
      </c>
      <c r="E66" s="184"/>
      <c r="F66" s="111"/>
      <c r="G66" s="168"/>
    </row>
    <row r="67" spans="1:7" s="169" customFormat="1" ht="15.75">
      <c r="A67" s="176" t="s">
        <v>62</v>
      </c>
      <c r="B67" s="214" t="s">
        <v>63</v>
      </c>
      <c r="C67" s="214"/>
      <c r="D67" s="214"/>
      <c r="E67" s="214"/>
      <c r="F67" s="214"/>
      <c r="G67" s="168"/>
    </row>
    <row r="68" spans="1:7" s="169" customFormat="1" ht="15.75">
      <c r="A68" s="31"/>
      <c r="B68" s="183" t="s">
        <v>64</v>
      </c>
      <c r="C68" s="49"/>
      <c r="D68" s="138"/>
      <c r="E68" s="138"/>
      <c r="F68" s="138"/>
      <c r="G68" s="168"/>
    </row>
    <row r="69" spans="1:7" s="169" customFormat="1" ht="40.5">
      <c r="A69" s="31">
        <v>1</v>
      </c>
      <c r="B69" s="6" t="s">
        <v>65</v>
      </c>
      <c r="C69" s="10" t="s">
        <v>66</v>
      </c>
      <c r="D69" s="104">
        <v>26000</v>
      </c>
      <c r="E69" s="105"/>
      <c r="F69" s="105"/>
      <c r="G69" s="168"/>
    </row>
    <row r="70" spans="1:7" s="169" customFormat="1" ht="40.5">
      <c r="A70" s="31">
        <f>+A69+1</f>
        <v>2</v>
      </c>
      <c r="B70" s="6" t="s">
        <v>67</v>
      </c>
      <c r="C70" s="10" t="s">
        <v>66</v>
      </c>
      <c r="D70" s="104">
        <v>30000</v>
      </c>
      <c r="E70" s="105" t="s">
        <v>68</v>
      </c>
      <c r="F70" s="105"/>
      <c r="G70" s="168"/>
    </row>
    <row r="71" spans="1:7" s="169" customFormat="1" ht="54">
      <c r="A71" s="41">
        <f>+A70+1</f>
        <v>3</v>
      </c>
      <c r="B71" s="79" t="s">
        <v>69</v>
      </c>
      <c r="C71" s="42" t="s">
        <v>66</v>
      </c>
      <c r="D71" s="113">
        <v>18084</v>
      </c>
      <c r="E71" s="113"/>
      <c r="F71" s="114"/>
      <c r="G71" s="168"/>
    </row>
    <row r="72" spans="1:7" s="169" customFormat="1" ht="67.5">
      <c r="A72" s="31">
        <v>4</v>
      </c>
      <c r="B72" s="6" t="s">
        <v>70</v>
      </c>
      <c r="C72" s="10" t="s">
        <v>66</v>
      </c>
      <c r="D72" s="104">
        <v>17300</v>
      </c>
      <c r="E72" s="104"/>
      <c r="F72" s="105"/>
      <c r="G72" s="168"/>
    </row>
    <row r="73" spans="1:7" s="169" customFormat="1" ht="15.75">
      <c r="A73" s="34"/>
      <c r="B73" s="178" t="s">
        <v>71</v>
      </c>
      <c r="C73" s="43"/>
      <c r="D73" s="115"/>
      <c r="E73" s="116"/>
      <c r="F73" s="116"/>
      <c r="G73" s="168"/>
    </row>
    <row r="74" spans="1:7" s="169" customFormat="1" ht="40.5">
      <c r="A74" s="31">
        <v>5</v>
      </c>
      <c r="B74" s="6" t="s">
        <v>72</v>
      </c>
      <c r="C74" s="10" t="s">
        <v>42</v>
      </c>
      <c r="D74" s="104">
        <f>28000</f>
        <v>28000</v>
      </c>
      <c r="E74" s="114"/>
      <c r="F74" s="114"/>
      <c r="G74" s="168"/>
    </row>
    <row r="75" spans="1:7" s="169" customFormat="1" ht="54">
      <c r="A75" s="31">
        <v>6</v>
      </c>
      <c r="B75" s="6" t="s">
        <v>73</v>
      </c>
      <c r="C75" s="10" t="s">
        <v>42</v>
      </c>
      <c r="D75" s="104">
        <v>32424</v>
      </c>
      <c r="E75" s="114"/>
      <c r="F75" s="114"/>
      <c r="G75" s="168"/>
    </row>
    <row r="76" spans="1:7" s="169" customFormat="1" ht="30.95" customHeight="1">
      <c r="A76" s="39">
        <f>+A75+1</f>
        <v>7</v>
      </c>
      <c r="B76" s="78" t="s">
        <v>74</v>
      </c>
      <c r="C76" s="38" t="s">
        <v>66</v>
      </c>
      <c r="D76" s="109">
        <v>24800</v>
      </c>
      <c r="E76" s="117"/>
      <c r="F76" s="117"/>
      <c r="G76" s="168"/>
    </row>
    <row r="77" spans="1:7" s="169" customFormat="1" ht="15.75">
      <c r="A77" s="176" t="s">
        <v>75</v>
      </c>
      <c r="B77" s="214" t="s">
        <v>76</v>
      </c>
      <c r="C77" s="214"/>
      <c r="D77" s="214"/>
      <c r="E77" s="214"/>
      <c r="F77" s="214"/>
      <c r="G77" s="168"/>
    </row>
    <row r="78" spans="1:7" s="169" customFormat="1">
      <c r="A78" s="31">
        <v>1</v>
      </c>
      <c r="B78" s="77" t="s">
        <v>77</v>
      </c>
      <c r="C78" s="36" t="s">
        <v>78</v>
      </c>
      <c r="D78" s="108">
        <v>12000</v>
      </c>
      <c r="E78" s="108"/>
      <c r="F78" s="108"/>
      <c r="G78" s="168"/>
    </row>
    <row r="79" spans="1:7" s="169" customFormat="1">
      <c r="A79" s="32">
        <f>+A78+1</f>
        <v>2</v>
      </c>
      <c r="B79" s="7" t="s">
        <v>79</v>
      </c>
      <c r="C79" s="33" t="s">
        <v>78</v>
      </c>
      <c r="D79" s="108">
        <v>13400</v>
      </c>
      <c r="E79" s="106"/>
      <c r="F79" s="106"/>
      <c r="G79" s="168"/>
    </row>
    <row r="80" spans="1:7" s="169" customFormat="1" ht="16.5" customHeight="1">
      <c r="A80" s="34"/>
      <c r="B80" s="214" t="s">
        <v>80</v>
      </c>
      <c r="C80" s="214"/>
      <c r="D80" s="214"/>
      <c r="E80" s="214"/>
      <c r="F80" s="214"/>
      <c r="G80" s="168"/>
    </row>
    <row r="81" spans="1:7" s="169" customFormat="1">
      <c r="A81" s="31">
        <v>1</v>
      </c>
      <c r="B81" s="6" t="s">
        <v>81</v>
      </c>
      <c r="C81" s="10" t="s">
        <v>82</v>
      </c>
      <c r="D81" s="104">
        <v>1550000</v>
      </c>
      <c r="E81" s="104"/>
      <c r="F81" s="104"/>
      <c r="G81" s="168"/>
    </row>
    <row r="82" spans="1:7" s="169" customFormat="1">
      <c r="A82" s="31">
        <f>+A81+1</f>
        <v>2</v>
      </c>
      <c r="B82" s="6" t="s">
        <v>83</v>
      </c>
      <c r="C82" s="10" t="s">
        <v>82</v>
      </c>
      <c r="D82" s="104">
        <v>1500000</v>
      </c>
      <c r="E82" s="104"/>
      <c r="F82" s="104"/>
      <c r="G82" s="168"/>
    </row>
    <row r="83" spans="1:7" s="169" customFormat="1">
      <c r="A83" s="10">
        <f>+A82+1</f>
        <v>3</v>
      </c>
      <c r="B83" s="6" t="s">
        <v>84</v>
      </c>
      <c r="C83" s="10" t="s">
        <v>82</v>
      </c>
      <c r="D83" s="104">
        <v>1450000</v>
      </c>
      <c r="E83" s="105"/>
      <c r="F83" s="105"/>
      <c r="G83" s="168"/>
    </row>
    <row r="84" spans="1:7" s="169" customFormat="1">
      <c r="A84" s="33">
        <v>4</v>
      </c>
      <c r="B84" s="7" t="s">
        <v>85</v>
      </c>
      <c r="C84" s="33" t="s">
        <v>82</v>
      </c>
      <c r="D84" s="106">
        <v>1250000</v>
      </c>
      <c r="E84" s="107"/>
      <c r="F84" s="107"/>
      <c r="G84" s="168"/>
    </row>
    <row r="85" spans="1:7" s="169" customFormat="1" ht="33.950000000000003" customHeight="1">
      <c r="A85" s="34"/>
      <c r="B85" s="214" t="s">
        <v>86</v>
      </c>
      <c r="C85" s="214"/>
      <c r="D85" s="214"/>
      <c r="E85" s="214"/>
      <c r="F85" s="214"/>
      <c r="G85" s="168"/>
    </row>
    <row r="86" spans="1:7" s="169" customFormat="1">
      <c r="A86" s="31">
        <v>1</v>
      </c>
      <c r="B86" s="6" t="s">
        <v>87</v>
      </c>
      <c r="C86" s="10" t="s">
        <v>82</v>
      </c>
      <c r="D86" s="104">
        <v>1790000</v>
      </c>
      <c r="E86" s="104"/>
      <c r="F86" s="104"/>
      <c r="G86" s="168"/>
    </row>
    <row r="87" spans="1:7" s="169" customFormat="1">
      <c r="A87" s="31">
        <f>+A86+1</f>
        <v>2</v>
      </c>
      <c r="B87" s="6" t="s">
        <v>88</v>
      </c>
      <c r="C87" s="10" t="s">
        <v>82</v>
      </c>
      <c r="D87" s="104">
        <v>1740000</v>
      </c>
      <c r="E87" s="104"/>
      <c r="F87" s="104"/>
      <c r="G87" s="168"/>
    </row>
    <row r="88" spans="1:7" s="169" customFormat="1">
      <c r="A88" s="31">
        <f t="shared" ref="A88:A151" si="3">+A87+1</f>
        <v>3</v>
      </c>
      <c r="B88" s="7" t="s">
        <v>89</v>
      </c>
      <c r="C88" s="33" t="s">
        <v>82</v>
      </c>
      <c r="D88" s="106">
        <v>1690000</v>
      </c>
      <c r="E88" s="106"/>
      <c r="F88" s="106"/>
      <c r="G88" s="168"/>
    </row>
    <row r="89" spans="1:7" s="169" customFormat="1" ht="31.5" customHeight="1">
      <c r="A89" s="31"/>
      <c r="B89" s="214" t="s">
        <v>90</v>
      </c>
      <c r="C89" s="214"/>
      <c r="D89" s="214"/>
      <c r="E89" s="214"/>
      <c r="F89" s="214"/>
      <c r="G89" s="168"/>
    </row>
    <row r="90" spans="1:7" s="169" customFormat="1">
      <c r="A90" s="31">
        <v>1</v>
      </c>
      <c r="B90" s="6" t="s">
        <v>91</v>
      </c>
      <c r="C90" s="10" t="s">
        <v>82</v>
      </c>
      <c r="D90" s="123"/>
      <c r="E90" s="104">
        <v>10363636</v>
      </c>
      <c r="F90" s="104"/>
      <c r="G90" s="168"/>
    </row>
    <row r="91" spans="1:7" s="169" customFormat="1">
      <c r="A91" s="32">
        <f>+A90+1</f>
        <v>2</v>
      </c>
      <c r="B91" s="7" t="s">
        <v>92</v>
      </c>
      <c r="C91" s="33" t="s">
        <v>82</v>
      </c>
      <c r="D91" s="135"/>
      <c r="E91" s="106">
        <v>9454545</v>
      </c>
      <c r="F91" s="106"/>
      <c r="G91" s="168"/>
    </row>
    <row r="92" spans="1:7" s="169" customFormat="1" ht="32.450000000000003" customHeight="1">
      <c r="A92" s="45"/>
      <c r="B92" s="214" t="s">
        <v>93</v>
      </c>
      <c r="C92" s="214"/>
      <c r="D92" s="214"/>
      <c r="E92" s="214"/>
      <c r="F92" s="214"/>
      <c r="G92" s="168"/>
    </row>
    <row r="93" spans="1:7" s="169" customFormat="1" ht="15.75">
      <c r="A93" s="31">
        <v>1</v>
      </c>
      <c r="B93" s="6" t="s">
        <v>94</v>
      </c>
      <c r="C93" s="10" t="s">
        <v>82</v>
      </c>
      <c r="D93" s="104">
        <v>1600000</v>
      </c>
      <c r="E93" s="110"/>
      <c r="F93" s="118"/>
      <c r="G93" s="168"/>
    </row>
    <row r="94" spans="1:7" s="169" customFormat="1" ht="15.75">
      <c r="A94" s="31">
        <f>+A93+1</f>
        <v>2</v>
      </c>
      <c r="B94" s="6" t="s">
        <v>95</v>
      </c>
      <c r="C94" s="10" t="s">
        <v>82</v>
      </c>
      <c r="D94" s="104">
        <v>1650000</v>
      </c>
      <c r="E94" s="110"/>
      <c r="F94" s="118"/>
      <c r="G94" s="168"/>
    </row>
    <row r="95" spans="1:7" s="169" customFormat="1" ht="15.75">
      <c r="A95" s="33">
        <f>+A94+1</f>
        <v>3</v>
      </c>
      <c r="B95" s="7" t="s">
        <v>96</v>
      </c>
      <c r="C95" s="33" t="s">
        <v>82</v>
      </c>
      <c r="D95" s="106">
        <v>1700000</v>
      </c>
      <c r="E95" s="119"/>
      <c r="F95" s="120"/>
      <c r="G95" s="168"/>
    </row>
    <row r="96" spans="1:7" s="169" customFormat="1" ht="50.45" customHeight="1">
      <c r="A96" s="34"/>
      <c r="B96" s="214" t="s">
        <v>97</v>
      </c>
      <c r="C96" s="214"/>
      <c r="D96" s="214"/>
      <c r="E96" s="214"/>
      <c r="F96" s="214"/>
      <c r="G96" s="168"/>
    </row>
    <row r="97" spans="1:7" s="169" customFormat="1" ht="16.5">
      <c r="A97" s="31">
        <v>1</v>
      </c>
      <c r="B97" s="6" t="s">
        <v>98</v>
      </c>
      <c r="C97" s="10" t="s">
        <v>42</v>
      </c>
      <c r="D97" s="104">
        <v>1190000</v>
      </c>
      <c r="E97" s="104"/>
      <c r="F97" s="104"/>
      <c r="G97" s="168"/>
    </row>
    <row r="98" spans="1:7" s="169" customFormat="1" ht="16.5">
      <c r="A98" s="31">
        <f>+A97+1</f>
        <v>2</v>
      </c>
      <c r="B98" s="6" t="s">
        <v>99</v>
      </c>
      <c r="C98" s="10" t="s">
        <v>42</v>
      </c>
      <c r="D98" s="104">
        <v>1280000</v>
      </c>
      <c r="E98" s="104"/>
      <c r="F98" s="104"/>
      <c r="G98" s="168"/>
    </row>
    <row r="99" spans="1:7" s="169" customFormat="1" ht="16.5">
      <c r="A99" s="31">
        <f t="shared" si="3"/>
        <v>3</v>
      </c>
      <c r="B99" s="6" t="s">
        <v>100</v>
      </c>
      <c r="C99" s="10" t="s">
        <v>42</v>
      </c>
      <c r="D99" s="104">
        <v>1370000</v>
      </c>
      <c r="E99" s="104"/>
      <c r="F99" s="104"/>
      <c r="G99" s="168"/>
    </row>
    <row r="100" spans="1:7" s="169" customFormat="1" ht="16.5">
      <c r="A100" s="31">
        <f t="shared" si="3"/>
        <v>4</v>
      </c>
      <c r="B100" s="6" t="s">
        <v>101</v>
      </c>
      <c r="C100" s="10" t="s">
        <v>42</v>
      </c>
      <c r="D100" s="104">
        <v>1460000</v>
      </c>
      <c r="E100" s="104"/>
      <c r="F100" s="104"/>
      <c r="G100" s="168"/>
    </row>
    <row r="101" spans="1:7" s="169" customFormat="1" ht="16.5">
      <c r="A101" s="31">
        <f t="shared" si="3"/>
        <v>5</v>
      </c>
      <c r="B101" s="6" t="s">
        <v>102</v>
      </c>
      <c r="C101" s="10" t="s">
        <v>42</v>
      </c>
      <c r="D101" s="104">
        <v>1550000</v>
      </c>
      <c r="E101" s="105"/>
      <c r="F101" s="105"/>
      <c r="G101" s="168"/>
    </row>
    <row r="102" spans="1:7" s="169" customFormat="1" ht="16.5">
      <c r="A102" s="31">
        <f t="shared" si="3"/>
        <v>6</v>
      </c>
      <c r="B102" s="6" t="s">
        <v>103</v>
      </c>
      <c r="C102" s="10" t="s">
        <v>42</v>
      </c>
      <c r="D102" s="104">
        <v>1640000</v>
      </c>
      <c r="E102" s="105"/>
      <c r="F102" s="105"/>
      <c r="G102" s="168"/>
    </row>
    <row r="103" spans="1:7" s="169" customFormat="1" ht="16.5">
      <c r="A103" s="37">
        <f t="shared" si="3"/>
        <v>7</v>
      </c>
      <c r="B103" s="80" t="s">
        <v>104</v>
      </c>
      <c r="C103" s="46" t="s">
        <v>42</v>
      </c>
      <c r="D103" s="121">
        <v>1730000</v>
      </c>
      <c r="E103" s="122"/>
      <c r="F103" s="122"/>
      <c r="G103" s="168"/>
    </row>
    <row r="104" spans="1:7" s="169" customFormat="1" ht="24" customHeight="1">
      <c r="A104" s="44"/>
      <c r="B104" s="214" t="s">
        <v>105</v>
      </c>
      <c r="C104" s="214"/>
      <c r="D104" s="214"/>
      <c r="E104" s="214"/>
      <c r="F104" s="214"/>
      <c r="G104" s="168"/>
    </row>
    <row r="105" spans="1:7" s="169" customFormat="1">
      <c r="A105" s="44">
        <v>1</v>
      </c>
      <c r="B105" s="9" t="s">
        <v>106</v>
      </c>
      <c r="C105" s="43" t="s">
        <v>82</v>
      </c>
      <c r="D105" s="115"/>
      <c r="E105" s="115">
        <v>4010000</v>
      </c>
      <c r="F105" s="116"/>
      <c r="G105" s="168"/>
    </row>
    <row r="106" spans="1:7" s="169" customFormat="1" ht="15.75">
      <c r="A106" s="206" t="s">
        <v>107</v>
      </c>
      <c r="B106" s="213" t="s">
        <v>1666</v>
      </c>
      <c r="C106" s="213"/>
      <c r="D106" s="213"/>
      <c r="E106" s="213"/>
      <c r="F106" s="213"/>
      <c r="G106" s="168"/>
    </row>
    <row r="107" spans="1:7" s="169" customFormat="1" ht="42" customHeight="1">
      <c r="A107" s="30"/>
      <c r="B107" s="214" t="s">
        <v>1667</v>
      </c>
      <c r="C107" s="214"/>
      <c r="D107" s="214"/>
      <c r="E107" s="214"/>
      <c r="F107" s="214"/>
      <c r="G107" s="168"/>
    </row>
    <row r="108" spans="1:7" s="169" customFormat="1" ht="16.5">
      <c r="A108" s="31">
        <v>1</v>
      </c>
      <c r="B108" s="6" t="s">
        <v>108</v>
      </c>
      <c r="C108" s="10" t="s">
        <v>42</v>
      </c>
      <c r="D108" s="104"/>
      <c r="E108" s="104">
        <f>6000000/1.1</f>
        <v>5454545.4545454541</v>
      </c>
      <c r="F108" s="104"/>
      <c r="G108" s="168"/>
    </row>
    <row r="109" spans="1:7" s="169" customFormat="1" ht="16.5">
      <c r="A109" s="31">
        <f>+A108+1</f>
        <v>2</v>
      </c>
      <c r="B109" s="6" t="s">
        <v>109</v>
      </c>
      <c r="C109" s="10" t="s">
        <v>42</v>
      </c>
      <c r="D109" s="104"/>
      <c r="E109" s="104">
        <f>15000000/1.1</f>
        <v>13636363.636363635</v>
      </c>
      <c r="F109" s="104"/>
      <c r="G109" s="168"/>
    </row>
    <row r="110" spans="1:7" s="169" customFormat="1" ht="16.5">
      <c r="A110" s="31">
        <f t="shared" si="3"/>
        <v>3</v>
      </c>
      <c r="B110" s="6" t="s">
        <v>110</v>
      </c>
      <c r="C110" s="10" t="s">
        <v>42</v>
      </c>
      <c r="D110" s="104"/>
      <c r="E110" s="104">
        <f>18000000/1.1</f>
        <v>16363636.363636361</v>
      </c>
      <c r="F110" s="104"/>
      <c r="G110" s="168"/>
    </row>
    <row r="111" spans="1:7" s="169" customFormat="1" ht="16.5">
      <c r="A111" s="31">
        <f t="shared" si="3"/>
        <v>4</v>
      </c>
      <c r="B111" s="6" t="s">
        <v>111</v>
      </c>
      <c r="C111" s="10" t="s">
        <v>42</v>
      </c>
      <c r="D111" s="104"/>
      <c r="E111" s="104">
        <f>21000000/1.1</f>
        <v>19090909.09090909</v>
      </c>
      <c r="F111" s="104"/>
      <c r="G111" s="168"/>
    </row>
    <row r="112" spans="1:7" s="169" customFormat="1" ht="16.5">
      <c r="A112" s="31">
        <f t="shared" si="3"/>
        <v>5</v>
      </c>
      <c r="B112" s="6" t="s">
        <v>112</v>
      </c>
      <c r="C112" s="10" t="s">
        <v>42</v>
      </c>
      <c r="D112" s="104"/>
      <c r="E112" s="104">
        <f>22000000/1.1</f>
        <v>20000000</v>
      </c>
      <c r="F112" s="104"/>
      <c r="G112" s="168"/>
    </row>
    <row r="113" spans="1:7" s="169" customFormat="1" ht="16.5">
      <c r="A113" s="31">
        <f t="shared" si="3"/>
        <v>6</v>
      </c>
      <c r="B113" s="6" t="s">
        <v>113</v>
      </c>
      <c r="C113" s="10" t="s">
        <v>42</v>
      </c>
      <c r="D113" s="104"/>
      <c r="E113" s="104">
        <f>22500000/1.1</f>
        <v>20454545.454545453</v>
      </c>
      <c r="F113" s="104"/>
      <c r="G113" s="168"/>
    </row>
    <row r="114" spans="1:7" s="169" customFormat="1" ht="16.5">
      <c r="A114" s="10">
        <f t="shared" si="3"/>
        <v>7</v>
      </c>
      <c r="B114" s="6" t="s">
        <v>114</v>
      </c>
      <c r="C114" s="10" t="s">
        <v>42</v>
      </c>
      <c r="D114" s="105"/>
      <c r="E114" s="104">
        <f>24000000/1.1</f>
        <v>21818181.818181816</v>
      </c>
      <c r="F114" s="105"/>
      <c r="G114" s="168"/>
    </row>
    <row r="115" spans="1:7" s="169" customFormat="1" ht="16.5">
      <c r="A115" s="10">
        <f t="shared" si="3"/>
        <v>8</v>
      </c>
      <c r="B115" s="77" t="s">
        <v>115</v>
      </c>
      <c r="C115" s="10" t="s">
        <v>42</v>
      </c>
      <c r="D115" s="108"/>
      <c r="E115" s="108">
        <f>30000000/1.1</f>
        <v>27272727.27272727</v>
      </c>
      <c r="F115" s="108"/>
      <c r="G115" s="168"/>
    </row>
    <row r="116" spans="1:7" s="169" customFormat="1" ht="16.5">
      <c r="A116" s="10">
        <f t="shared" si="3"/>
        <v>9</v>
      </c>
      <c r="B116" s="78" t="s">
        <v>116</v>
      </c>
      <c r="C116" s="38" t="s">
        <v>42</v>
      </c>
      <c r="D116" s="109"/>
      <c r="E116" s="109">
        <f>35000000/1.1</f>
        <v>31818181.818181816</v>
      </c>
      <c r="F116" s="109"/>
      <c r="G116" s="168"/>
    </row>
    <row r="117" spans="1:7" s="169" customFormat="1" ht="36" customHeight="1">
      <c r="A117" s="47"/>
      <c r="B117" s="214" t="s">
        <v>117</v>
      </c>
      <c r="C117" s="214"/>
      <c r="D117" s="214"/>
      <c r="E117" s="214"/>
      <c r="F117" s="214"/>
      <c r="G117" s="168"/>
    </row>
    <row r="118" spans="1:7" s="169" customFormat="1" ht="15.75">
      <c r="A118" s="31">
        <v>1</v>
      </c>
      <c r="B118" s="214" t="s">
        <v>118</v>
      </c>
      <c r="C118" s="214" t="s">
        <v>119</v>
      </c>
      <c r="D118" s="214"/>
      <c r="E118" s="214">
        <f>30000/1.1</f>
        <v>27272.727272727272</v>
      </c>
      <c r="F118" s="214"/>
      <c r="G118" s="168"/>
    </row>
    <row r="119" spans="1:7" s="169" customFormat="1">
      <c r="A119" s="31">
        <f t="shared" si="3"/>
        <v>2</v>
      </c>
      <c r="B119" s="6" t="s">
        <v>120</v>
      </c>
      <c r="C119" s="10" t="s">
        <v>119</v>
      </c>
      <c r="D119" s="123"/>
      <c r="E119" s="104">
        <f>36000/1.1</f>
        <v>32727.272727272724</v>
      </c>
      <c r="F119" s="104"/>
      <c r="G119" s="168"/>
    </row>
    <row r="120" spans="1:7" s="169" customFormat="1">
      <c r="A120" s="31">
        <f t="shared" si="3"/>
        <v>3</v>
      </c>
      <c r="B120" s="6" t="s">
        <v>121</v>
      </c>
      <c r="C120" s="10" t="s">
        <v>119</v>
      </c>
      <c r="D120" s="124"/>
      <c r="E120" s="108">
        <f>38000/1.1</f>
        <v>34545.454545454544</v>
      </c>
      <c r="F120" s="115"/>
      <c r="G120" s="168"/>
    </row>
    <row r="121" spans="1:7" s="169" customFormat="1">
      <c r="A121" s="39">
        <f t="shared" si="3"/>
        <v>4</v>
      </c>
      <c r="B121" s="78" t="s">
        <v>122</v>
      </c>
      <c r="C121" s="38" t="s">
        <v>119</v>
      </c>
      <c r="D121" s="109"/>
      <c r="E121" s="109">
        <f>40000/1.1</f>
        <v>36363.63636363636</v>
      </c>
      <c r="F121" s="121"/>
      <c r="G121" s="168"/>
    </row>
    <row r="122" spans="1:7" s="169" customFormat="1" ht="15.75">
      <c r="A122" s="176" t="s">
        <v>123</v>
      </c>
      <c r="B122" s="213" t="s">
        <v>124</v>
      </c>
      <c r="C122" s="213"/>
      <c r="D122" s="213"/>
      <c r="E122" s="213"/>
      <c r="F122" s="213"/>
      <c r="G122" s="168"/>
    </row>
    <row r="123" spans="1:7" s="169" customFormat="1" ht="34.5" customHeight="1">
      <c r="A123" s="31"/>
      <c r="B123" s="214" t="s">
        <v>125</v>
      </c>
      <c r="C123" s="214"/>
      <c r="D123" s="214"/>
      <c r="E123" s="214"/>
      <c r="F123" s="214"/>
      <c r="G123" s="168"/>
    </row>
    <row r="124" spans="1:7" s="169" customFormat="1">
      <c r="A124" s="31">
        <v>1</v>
      </c>
      <c r="B124" s="6" t="s">
        <v>126</v>
      </c>
      <c r="C124" s="10" t="s">
        <v>127</v>
      </c>
      <c r="D124" s="104">
        <v>3900000</v>
      </c>
      <c r="E124" s="104"/>
      <c r="F124" s="104"/>
      <c r="G124" s="168"/>
    </row>
    <row r="125" spans="1:7" s="169" customFormat="1">
      <c r="A125" s="31">
        <f t="shared" si="3"/>
        <v>2</v>
      </c>
      <c r="B125" s="6" t="s">
        <v>128</v>
      </c>
      <c r="C125" s="10" t="s">
        <v>127</v>
      </c>
      <c r="D125" s="104">
        <v>3600000</v>
      </c>
      <c r="E125" s="104"/>
      <c r="F125" s="104"/>
      <c r="G125" s="168"/>
    </row>
    <row r="126" spans="1:7" s="169" customFormat="1">
      <c r="A126" s="31">
        <f t="shared" si="3"/>
        <v>3</v>
      </c>
      <c r="B126" s="6" t="s">
        <v>129</v>
      </c>
      <c r="C126" s="10" t="s">
        <v>127</v>
      </c>
      <c r="D126" s="104">
        <v>2450000</v>
      </c>
      <c r="E126" s="104"/>
      <c r="F126" s="104"/>
      <c r="G126" s="168"/>
    </row>
    <row r="127" spans="1:7" s="169" customFormat="1">
      <c r="A127" s="31">
        <f t="shared" si="3"/>
        <v>4</v>
      </c>
      <c r="B127" s="6" t="s">
        <v>130</v>
      </c>
      <c r="C127" s="10" t="s">
        <v>127</v>
      </c>
      <c r="D127" s="104">
        <v>2000000</v>
      </c>
      <c r="E127" s="104"/>
      <c r="F127" s="104"/>
      <c r="G127" s="168"/>
    </row>
    <row r="128" spans="1:7" s="169" customFormat="1">
      <c r="A128" s="31">
        <f t="shared" si="3"/>
        <v>5</v>
      </c>
      <c r="B128" s="6" t="s">
        <v>131</v>
      </c>
      <c r="C128" s="10" t="s">
        <v>127</v>
      </c>
      <c r="D128" s="104">
        <v>1900000</v>
      </c>
      <c r="E128" s="104"/>
      <c r="F128" s="104"/>
      <c r="G128" s="168"/>
    </row>
    <row r="129" spans="1:7" s="169" customFormat="1">
      <c r="A129" s="31">
        <f t="shared" si="3"/>
        <v>6</v>
      </c>
      <c r="B129" s="6" t="s">
        <v>132</v>
      </c>
      <c r="C129" s="10" t="s">
        <v>127</v>
      </c>
      <c r="D129" s="104">
        <v>1200000</v>
      </c>
      <c r="E129" s="104"/>
      <c r="F129" s="104"/>
      <c r="G129" s="168"/>
    </row>
    <row r="130" spans="1:7" s="169" customFormat="1">
      <c r="A130" s="31">
        <f t="shared" si="3"/>
        <v>7</v>
      </c>
      <c r="B130" s="6" t="s">
        <v>133</v>
      </c>
      <c r="C130" s="10" t="s">
        <v>127</v>
      </c>
      <c r="D130" s="104">
        <v>1060000</v>
      </c>
      <c r="E130" s="104"/>
      <c r="F130" s="104"/>
      <c r="G130" s="168"/>
    </row>
    <row r="131" spans="1:7" s="169" customFormat="1">
      <c r="A131" s="31">
        <f t="shared" si="3"/>
        <v>8</v>
      </c>
      <c r="B131" s="6" t="s">
        <v>134</v>
      </c>
      <c r="C131" s="10" t="s">
        <v>135</v>
      </c>
      <c r="D131" s="104">
        <v>640000</v>
      </c>
      <c r="E131" s="104"/>
      <c r="F131" s="104"/>
      <c r="G131" s="168"/>
    </row>
    <row r="132" spans="1:7" s="169" customFormat="1">
      <c r="A132" s="31">
        <f t="shared" si="3"/>
        <v>9</v>
      </c>
      <c r="B132" s="6" t="s">
        <v>136</v>
      </c>
      <c r="C132" s="10" t="s">
        <v>135</v>
      </c>
      <c r="D132" s="104">
        <v>375000</v>
      </c>
      <c r="E132" s="104"/>
      <c r="F132" s="104"/>
      <c r="G132" s="168"/>
    </row>
    <row r="133" spans="1:7" s="169" customFormat="1">
      <c r="A133" s="31">
        <f t="shared" si="3"/>
        <v>10</v>
      </c>
      <c r="B133" s="6" t="s">
        <v>137</v>
      </c>
      <c r="C133" s="10" t="s">
        <v>135</v>
      </c>
      <c r="D133" s="104">
        <v>170000</v>
      </c>
      <c r="E133" s="104"/>
      <c r="F133" s="104"/>
      <c r="G133" s="168"/>
    </row>
    <row r="134" spans="1:7" s="169" customFormat="1">
      <c r="A134" s="31">
        <f t="shared" si="3"/>
        <v>11</v>
      </c>
      <c r="B134" s="6" t="s">
        <v>138</v>
      </c>
      <c r="C134" s="10" t="s">
        <v>135</v>
      </c>
      <c r="D134" s="104">
        <v>195000</v>
      </c>
      <c r="E134" s="104"/>
      <c r="F134" s="104"/>
      <c r="G134" s="168"/>
    </row>
    <row r="135" spans="1:7" s="169" customFormat="1">
      <c r="A135" s="31">
        <f t="shared" si="3"/>
        <v>12</v>
      </c>
      <c r="B135" s="6" t="s">
        <v>139</v>
      </c>
      <c r="C135" s="10" t="s">
        <v>135</v>
      </c>
      <c r="D135" s="104">
        <v>170000</v>
      </c>
      <c r="E135" s="104"/>
      <c r="F135" s="104"/>
      <c r="G135" s="168"/>
    </row>
    <row r="136" spans="1:7" s="169" customFormat="1">
      <c r="A136" s="31">
        <f t="shared" si="3"/>
        <v>13</v>
      </c>
      <c r="B136" s="6" t="s">
        <v>140</v>
      </c>
      <c r="C136" s="10" t="s">
        <v>135</v>
      </c>
      <c r="D136" s="104">
        <v>295000</v>
      </c>
      <c r="E136" s="104"/>
      <c r="F136" s="104"/>
      <c r="G136" s="168"/>
    </row>
    <row r="137" spans="1:7" s="169" customFormat="1">
      <c r="A137" s="31">
        <f t="shared" si="3"/>
        <v>14</v>
      </c>
      <c r="B137" s="6" t="s">
        <v>141</v>
      </c>
      <c r="C137" s="10" t="s">
        <v>142</v>
      </c>
      <c r="D137" s="104">
        <v>820000</v>
      </c>
      <c r="E137" s="104"/>
      <c r="F137" s="104"/>
      <c r="G137" s="168"/>
    </row>
    <row r="138" spans="1:7" s="169" customFormat="1">
      <c r="A138" s="31">
        <f t="shared" si="3"/>
        <v>15</v>
      </c>
      <c r="B138" s="6" t="s">
        <v>143</v>
      </c>
      <c r="C138" s="10" t="s">
        <v>142</v>
      </c>
      <c r="D138" s="104">
        <v>630000</v>
      </c>
      <c r="E138" s="104"/>
      <c r="F138" s="104"/>
      <c r="G138" s="168"/>
    </row>
    <row r="139" spans="1:7" s="169" customFormat="1">
      <c r="A139" s="31">
        <f t="shared" si="3"/>
        <v>16</v>
      </c>
      <c r="B139" s="6" t="s">
        <v>144</v>
      </c>
      <c r="C139" s="10" t="s">
        <v>142</v>
      </c>
      <c r="D139" s="104">
        <v>410000</v>
      </c>
      <c r="E139" s="104"/>
      <c r="F139" s="104"/>
      <c r="G139" s="168"/>
    </row>
    <row r="140" spans="1:7" s="169" customFormat="1">
      <c r="A140" s="31">
        <f t="shared" si="3"/>
        <v>17</v>
      </c>
      <c r="B140" s="6" t="s">
        <v>145</v>
      </c>
      <c r="C140" s="10" t="s">
        <v>142</v>
      </c>
      <c r="D140" s="104">
        <v>300000</v>
      </c>
      <c r="E140" s="104"/>
      <c r="F140" s="104"/>
      <c r="G140" s="168"/>
    </row>
    <row r="141" spans="1:7" s="169" customFormat="1">
      <c r="A141" s="31">
        <f t="shared" si="3"/>
        <v>18</v>
      </c>
      <c r="B141" s="6" t="s">
        <v>146</v>
      </c>
      <c r="C141" s="10" t="s">
        <v>142</v>
      </c>
      <c r="D141" s="104">
        <v>240000</v>
      </c>
      <c r="E141" s="104"/>
      <c r="F141" s="104"/>
      <c r="G141" s="168"/>
    </row>
    <row r="142" spans="1:7" s="169" customFormat="1">
      <c r="A142" s="31">
        <f t="shared" si="3"/>
        <v>19</v>
      </c>
      <c r="B142" s="6" t="s">
        <v>147</v>
      </c>
      <c r="C142" s="10" t="s">
        <v>142</v>
      </c>
      <c r="D142" s="104">
        <v>200000</v>
      </c>
      <c r="E142" s="104"/>
      <c r="F142" s="104"/>
      <c r="G142" s="168"/>
    </row>
    <row r="143" spans="1:7" s="169" customFormat="1">
      <c r="A143" s="31">
        <f t="shared" si="3"/>
        <v>20</v>
      </c>
      <c r="B143" s="6" t="s">
        <v>148</v>
      </c>
      <c r="C143" s="10" t="s">
        <v>142</v>
      </c>
      <c r="D143" s="104">
        <v>460000</v>
      </c>
      <c r="E143" s="104"/>
      <c r="F143" s="104"/>
      <c r="G143" s="168"/>
    </row>
    <row r="144" spans="1:7" s="169" customFormat="1">
      <c r="A144" s="31">
        <f t="shared" si="3"/>
        <v>21</v>
      </c>
      <c r="B144" s="6" t="s">
        <v>149</v>
      </c>
      <c r="C144" s="10" t="s">
        <v>142</v>
      </c>
      <c r="D144" s="104">
        <v>490000</v>
      </c>
      <c r="E144" s="104"/>
      <c r="F144" s="104"/>
      <c r="G144" s="168"/>
    </row>
    <row r="145" spans="1:7" s="169" customFormat="1">
      <c r="A145" s="31">
        <f t="shared" si="3"/>
        <v>22</v>
      </c>
      <c r="B145" s="6" t="s">
        <v>150</v>
      </c>
      <c r="C145" s="10" t="s">
        <v>142</v>
      </c>
      <c r="D145" s="104">
        <v>520000</v>
      </c>
      <c r="E145" s="104"/>
      <c r="F145" s="104"/>
      <c r="G145" s="168"/>
    </row>
    <row r="146" spans="1:7" s="169" customFormat="1">
      <c r="A146" s="31">
        <f t="shared" si="3"/>
        <v>23</v>
      </c>
      <c r="B146" s="77" t="s">
        <v>151</v>
      </c>
      <c r="C146" s="36" t="s">
        <v>142</v>
      </c>
      <c r="D146" s="108">
        <v>340000</v>
      </c>
      <c r="E146" s="108"/>
      <c r="F146" s="108"/>
      <c r="G146" s="168"/>
    </row>
    <row r="147" spans="1:7" s="169" customFormat="1">
      <c r="A147" s="31">
        <f t="shared" si="3"/>
        <v>24</v>
      </c>
      <c r="B147" s="6" t="s">
        <v>152</v>
      </c>
      <c r="C147" s="10" t="s">
        <v>142</v>
      </c>
      <c r="D147" s="104">
        <v>360000</v>
      </c>
      <c r="E147" s="104"/>
      <c r="F147" s="104"/>
      <c r="G147" s="168"/>
    </row>
    <row r="148" spans="1:7" s="169" customFormat="1">
      <c r="A148" s="31">
        <f t="shared" si="3"/>
        <v>25</v>
      </c>
      <c r="B148" s="6" t="s">
        <v>153</v>
      </c>
      <c r="C148" s="10" t="s">
        <v>142</v>
      </c>
      <c r="D148" s="104">
        <v>390000</v>
      </c>
      <c r="E148" s="104"/>
      <c r="F148" s="104"/>
      <c r="G148" s="168"/>
    </row>
    <row r="149" spans="1:7" s="169" customFormat="1">
      <c r="A149" s="31">
        <f t="shared" si="3"/>
        <v>26</v>
      </c>
      <c r="B149" s="6" t="s">
        <v>154</v>
      </c>
      <c r="C149" s="10" t="s">
        <v>142</v>
      </c>
      <c r="D149" s="104">
        <v>220000</v>
      </c>
      <c r="E149" s="104"/>
      <c r="F149" s="104"/>
      <c r="G149" s="168"/>
    </row>
    <row r="150" spans="1:7" s="169" customFormat="1">
      <c r="A150" s="31">
        <f t="shared" si="3"/>
        <v>27</v>
      </c>
      <c r="B150" s="6" t="s">
        <v>155</v>
      </c>
      <c r="C150" s="10" t="s">
        <v>142</v>
      </c>
      <c r="D150" s="104">
        <v>250000</v>
      </c>
      <c r="E150" s="104"/>
      <c r="F150" s="104"/>
      <c r="G150" s="168"/>
    </row>
    <row r="151" spans="1:7" s="169" customFormat="1">
      <c r="A151" s="32">
        <f t="shared" si="3"/>
        <v>28</v>
      </c>
      <c r="B151" s="7" t="s">
        <v>156</v>
      </c>
      <c r="C151" s="33" t="s">
        <v>142</v>
      </c>
      <c r="D151" s="106">
        <v>290000</v>
      </c>
      <c r="E151" s="106"/>
      <c r="F151" s="106"/>
      <c r="G151" s="168"/>
    </row>
    <row r="152" spans="1:7" s="169" customFormat="1" ht="37.5" customHeight="1">
      <c r="A152" s="34"/>
      <c r="B152" s="214" t="s">
        <v>157</v>
      </c>
      <c r="C152" s="214"/>
      <c r="D152" s="214"/>
      <c r="E152" s="214"/>
      <c r="F152" s="214"/>
      <c r="G152" s="168"/>
    </row>
    <row r="153" spans="1:7" s="169" customFormat="1">
      <c r="A153" s="31"/>
      <c r="B153" s="8" t="s">
        <v>158</v>
      </c>
      <c r="C153" s="12"/>
      <c r="D153" s="126"/>
      <c r="E153" s="126"/>
      <c r="F153" s="126"/>
      <c r="G153" s="168"/>
    </row>
    <row r="154" spans="1:7" s="169" customFormat="1">
      <c r="A154" s="31"/>
      <c r="B154" s="8" t="s">
        <v>159</v>
      </c>
      <c r="C154" s="12"/>
      <c r="D154" s="104"/>
      <c r="E154" s="104"/>
      <c r="F154" s="104"/>
      <c r="G154" s="168"/>
    </row>
    <row r="155" spans="1:7" s="169" customFormat="1" ht="16.5">
      <c r="A155" s="31">
        <v>1</v>
      </c>
      <c r="B155" s="6" t="s">
        <v>160</v>
      </c>
      <c r="C155" s="10" t="s">
        <v>142</v>
      </c>
      <c r="D155" s="104">
        <v>278300</v>
      </c>
      <c r="E155" s="104"/>
      <c r="F155" s="104"/>
      <c r="G155" s="168"/>
    </row>
    <row r="156" spans="1:7" s="169" customFormat="1">
      <c r="A156" s="31">
        <f t="shared" ref="A156:A161" si="4">+A155+1</f>
        <v>2</v>
      </c>
      <c r="B156" s="6" t="s">
        <v>161</v>
      </c>
      <c r="C156" s="10" t="s">
        <v>142</v>
      </c>
      <c r="D156" s="104">
        <v>290400</v>
      </c>
      <c r="E156" s="104"/>
      <c r="F156" s="104"/>
      <c r="G156" s="168"/>
    </row>
    <row r="157" spans="1:7" s="169" customFormat="1">
      <c r="A157" s="31">
        <f t="shared" si="4"/>
        <v>3</v>
      </c>
      <c r="B157" s="6" t="s">
        <v>162</v>
      </c>
      <c r="C157" s="10" t="s">
        <v>142</v>
      </c>
      <c r="D157" s="104">
        <v>302500</v>
      </c>
      <c r="E157" s="104"/>
      <c r="F157" s="104"/>
      <c r="G157" s="168"/>
    </row>
    <row r="158" spans="1:7" s="169" customFormat="1">
      <c r="A158" s="31"/>
      <c r="B158" s="8" t="s">
        <v>163</v>
      </c>
      <c r="C158" s="12"/>
      <c r="D158" s="104"/>
      <c r="E158" s="104"/>
      <c r="F158" s="104"/>
      <c r="G158" s="168"/>
    </row>
    <row r="159" spans="1:7" s="169" customFormat="1" ht="16.5">
      <c r="A159" s="31">
        <f>+A157+1</f>
        <v>4</v>
      </c>
      <c r="B159" s="6" t="s">
        <v>160</v>
      </c>
      <c r="C159" s="10" t="s">
        <v>142</v>
      </c>
      <c r="D159" s="104">
        <v>430500</v>
      </c>
      <c r="E159" s="104"/>
      <c r="F159" s="104"/>
      <c r="G159" s="168"/>
    </row>
    <row r="160" spans="1:7" s="169" customFormat="1">
      <c r="A160" s="31">
        <f t="shared" si="4"/>
        <v>5</v>
      </c>
      <c r="B160" s="6" t="s">
        <v>161</v>
      </c>
      <c r="C160" s="10" t="s">
        <v>142</v>
      </c>
      <c r="D160" s="104">
        <v>472500</v>
      </c>
      <c r="E160" s="104"/>
      <c r="F160" s="104"/>
      <c r="G160" s="168"/>
    </row>
    <row r="161" spans="1:7" s="169" customFormat="1">
      <c r="A161" s="31">
        <f t="shared" si="4"/>
        <v>6</v>
      </c>
      <c r="B161" s="6" t="s">
        <v>162</v>
      </c>
      <c r="C161" s="10" t="s">
        <v>142</v>
      </c>
      <c r="D161" s="104">
        <v>504000</v>
      </c>
      <c r="E161" s="104"/>
      <c r="F161" s="104"/>
      <c r="G161" s="168"/>
    </row>
    <row r="162" spans="1:7" s="169" customFormat="1">
      <c r="A162" s="31"/>
      <c r="B162" s="8" t="s">
        <v>164</v>
      </c>
      <c r="C162" s="12"/>
      <c r="D162" s="104"/>
      <c r="E162" s="104"/>
      <c r="F162" s="104"/>
      <c r="G162" s="168"/>
    </row>
    <row r="163" spans="1:7" s="169" customFormat="1" ht="16.5">
      <c r="A163" s="31">
        <f>+A161+1</f>
        <v>7</v>
      </c>
      <c r="B163" s="6" t="s">
        <v>160</v>
      </c>
      <c r="C163" s="10" t="s">
        <v>142</v>
      </c>
      <c r="D163" s="104">
        <v>688800</v>
      </c>
      <c r="E163" s="104"/>
      <c r="F163" s="104"/>
      <c r="G163" s="168"/>
    </row>
    <row r="164" spans="1:7" s="169" customFormat="1">
      <c r="A164" s="31">
        <f>+A163+1</f>
        <v>8</v>
      </c>
      <c r="B164" s="6" t="s">
        <v>161</v>
      </c>
      <c r="C164" s="10" t="s">
        <v>142</v>
      </c>
      <c r="D164" s="104">
        <v>760200</v>
      </c>
      <c r="E164" s="104"/>
      <c r="F164" s="104"/>
      <c r="G164" s="168"/>
    </row>
    <row r="165" spans="1:7" s="169" customFormat="1">
      <c r="A165" s="31">
        <f>+A164+1</f>
        <v>9</v>
      </c>
      <c r="B165" s="6" t="s">
        <v>162</v>
      </c>
      <c r="C165" s="10" t="s">
        <v>142</v>
      </c>
      <c r="D165" s="104">
        <v>854700</v>
      </c>
      <c r="E165" s="104"/>
      <c r="F165" s="104"/>
      <c r="G165" s="168"/>
    </row>
    <row r="166" spans="1:7" s="169" customFormat="1">
      <c r="A166" s="31"/>
      <c r="B166" s="8" t="s">
        <v>165</v>
      </c>
      <c r="C166" s="12"/>
      <c r="D166" s="104"/>
      <c r="E166" s="104"/>
      <c r="F166" s="104"/>
      <c r="G166" s="168"/>
    </row>
    <row r="167" spans="1:7" s="169" customFormat="1" ht="16.5">
      <c r="A167" s="31">
        <f>+A165+1</f>
        <v>10</v>
      </c>
      <c r="B167" s="6" t="s">
        <v>160</v>
      </c>
      <c r="C167" s="10" t="s">
        <v>142</v>
      </c>
      <c r="D167" s="104">
        <v>1092000</v>
      </c>
      <c r="E167" s="104"/>
      <c r="F167" s="104"/>
      <c r="G167" s="168"/>
    </row>
    <row r="168" spans="1:7" s="169" customFormat="1">
      <c r="A168" s="31">
        <f>+A167+1</f>
        <v>11</v>
      </c>
      <c r="B168" s="6" t="s">
        <v>161</v>
      </c>
      <c r="C168" s="10" t="s">
        <v>142</v>
      </c>
      <c r="D168" s="104">
        <v>1201200</v>
      </c>
      <c r="E168" s="104"/>
      <c r="F168" s="104"/>
      <c r="G168" s="168"/>
    </row>
    <row r="169" spans="1:7" s="169" customFormat="1">
      <c r="A169" s="31">
        <f>+A168+1</f>
        <v>12</v>
      </c>
      <c r="B169" s="6" t="s">
        <v>162</v>
      </c>
      <c r="C169" s="10" t="s">
        <v>142</v>
      </c>
      <c r="D169" s="104">
        <v>1356600</v>
      </c>
      <c r="E169" s="104"/>
      <c r="F169" s="104"/>
      <c r="G169" s="168"/>
    </row>
    <row r="170" spans="1:7" s="169" customFormat="1">
      <c r="A170" s="31"/>
      <c r="B170" s="8" t="s">
        <v>166</v>
      </c>
      <c r="C170" s="12"/>
      <c r="D170" s="104"/>
      <c r="E170" s="104"/>
      <c r="F170" s="104"/>
      <c r="G170" s="168"/>
    </row>
    <row r="171" spans="1:7" s="169" customFormat="1" ht="16.5">
      <c r="A171" s="31">
        <f>+A169+1</f>
        <v>13</v>
      </c>
      <c r="B171" s="6" t="s">
        <v>160</v>
      </c>
      <c r="C171" s="10" t="s">
        <v>142</v>
      </c>
      <c r="D171" s="104">
        <v>2103400</v>
      </c>
      <c r="E171" s="104"/>
      <c r="F171" s="104"/>
      <c r="G171" s="168"/>
    </row>
    <row r="172" spans="1:7" s="169" customFormat="1">
      <c r="A172" s="31">
        <f>+A171+1</f>
        <v>14</v>
      </c>
      <c r="B172" s="6" t="s">
        <v>161</v>
      </c>
      <c r="C172" s="10" t="s">
        <v>142</v>
      </c>
      <c r="D172" s="104">
        <v>2189200</v>
      </c>
      <c r="E172" s="104"/>
      <c r="F172" s="104"/>
      <c r="G172" s="168"/>
    </row>
    <row r="173" spans="1:7" s="169" customFormat="1">
      <c r="A173" s="31">
        <f>+A172+1</f>
        <v>15</v>
      </c>
      <c r="B173" s="6" t="s">
        <v>162</v>
      </c>
      <c r="C173" s="10" t="s">
        <v>142</v>
      </c>
      <c r="D173" s="104">
        <v>2321800</v>
      </c>
      <c r="E173" s="104"/>
      <c r="F173" s="104"/>
      <c r="G173" s="168"/>
    </row>
    <row r="174" spans="1:7" s="169" customFormat="1">
      <c r="A174" s="31"/>
      <c r="B174" s="8" t="s">
        <v>167</v>
      </c>
      <c r="C174" s="12"/>
      <c r="D174" s="104"/>
      <c r="E174" s="104"/>
      <c r="F174" s="104"/>
      <c r="G174" s="168"/>
    </row>
    <row r="175" spans="1:7" s="169" customFormat="1" ht="16.5">
      <c r="A175" s="31">
        <f>+A173+1</f>
        <v>16</v>
      </c>
      <c r="B175" s="6" t="s">
        <v>160</v>
      </c>
      <c r="C175" s="10" t="s">
        <v>142</v>
      </c>
      <c r="D175" s="104">
        <v>2587200</v>
      </c>
      <c r="E175" s="104"/>
      <c r="F175" s="104"/>
      <c r="G175" s="168"/>
    </row>
    <row r="176" spans="1:7" s="169" customFormat="1">
      <c r="A176" s="31">
        <f>+A175+1</f>
        <v>17</v>
      </c>
      <c r="B176" s="6" t="s">
        <v>161</v>
      </c>
      <c r="C176" s="10" t="s">
        <v>142</v>
      </c>
      <c r="D176" s="104">
        <v>2752800</v>
      </c>
      <c r="E176" s="104"/>
      <c r="F176" s="104"/>
      <c r="G176" s="168"/>
    </row>
    <row r="177" spans="1:7" s="169" customFormat="1">
      <c r="A177" s="31">
        <f>+A176+1</f>
        <v>18</v>
      </c>
      <c r="B177" s="6" t="s">
        <v>162</v>
      </c>
      <c r="C177" s="10" t="s">
        <v>142</v>
      </c>
      <c r="D177" s="104">
        <v>2985600</v>
      </c>
      <c r="E177" s="104"/>
      <c r="F177" s="104"/>
      <c r="G177" s="168"/>
    </row>
    <row r="178" spans="1:7" s="169" customFormat="1">
      <c r="A178" s="31"/>
      <c r="B178" s="8" t="s">
        <v>168</v>
      </c>
      <c r="C178" s="12"/>
      <c r="D178" s="104"/>
      <c r="E178" s="104"/>
      <c r="F178" s="104"/>
      <c r="G178" s="168"/>
    </row>
    <row r="179" spans="1:7" s="169" customFormat="1">
      <c r="A179" s="31">
        <f>+A177+1</f>
        <v>19</v>
      </c>
      <c r="B179" s="6" t="s">
        <v>169</v>
      </c>
      <c r="C179" s="10" t="s">
        <v>135</v>
      </c>
      <c r="D179" s="104">
        <v>140000</v>
      </c>
      <c r="E179" s="104"/>
      <c r="F179" s="104"/>
      <c r="G179" s="168"/>
    </row>
    <row r="180" spans="1:7" s="169" customFormat="1">
      <c r="A180" s="31">
        <f>+A179+1</f>
        <v>20</v>
      </c>
      <c r="B180" s="6" t="s">
        <v>170</v>
      </c>
      <c r="C180" s="10" t="s">
        <v>135</v>
      </c>
      <c r="D180" s="104">
        <v>203000</v>
      </c>
      <c r="E180" s="104"/>
      <c r="F180" s="104"/>
      <c r="G180" s="168"/>
    </row>
    <row r="181" spans="1:7" s="169" customFormat="1">
      <c r="A181" s="31">
        <f>+A180+1</f>
        <v>21</v>
      </c>
      <c r="B181" s="6" t="s">
        <v>171</v>
      </c>
      <c r="C181" s="10" t="s">
        <v>135</v>
      </c>
      <c r="D181" s="104">
        <v>250000</v>
      </c>
      <c r="E181" s="104"/>
      <c r="F181" s="104"/>
      <c r="G181" s="168"/>
    </row>
    <row r="182" spans="1:7" s="169" customFormat="1">
      <c r="A182" s="31">
        <f>+A181+1</f>
        <v>22</v>
      </c>
      <c r="B182" s="6" t="s">
        <v>172</v>
      </c>
      <c r="C182" s="10" t="s">
        <v>135</v>
      </c>
      <c r="D182" s="104">
        <v>310000</v>
      </c>
      <c r="E182" s="104"/>
      <c r="F182" s="104"/>
      <c r="G182" s="168"/>
    </row>
    <row r="183" spans="1:7" s="169" customFormat="1">
      <c r="A183" s="31"/>
      <c r="B183" s="8" t="s">
        <v>173</v>
      </c>
      <c r="C183" s="12"/>
      <c r="D183" s="104"/>
      <c r="E183" s="104"/>
      <c r="F183" s="104"/>
      <c r="G183" s="168"/>
    </row>
    <row r="184" spans="1:7" s="169" customFormat="1">
      <c r="A184" s="31">
        <f>+A182+1</f>
        <v>23</v>
      </c>
      <c r="B184" s="6" t="s">
        <v>174</v>
      </c>
      <c r="C184" s="10" t="s">
        <v>175</v>
      </c>
      <c r="D184" s="104">
        <v>33500</v>
      </c>
      <c r="E184" s="104"/>
      <c r="F184" s="104"/>
      <c r="G184" s="168"/>
    </row>
    <row r="185" spans="1:7" s="169" customFormat="1">
      <c r="A185" s="31">
        <f t="shared" ref="A185:A192" si="5">+A184+1</f>
        <v>24</v>
      </c>
      <c r="B185" s="6" t="s">
        <v>176</v>
      </c>
      <c r="C185" s="10" t="s">
        <v>175</v>
      </c>
      <c r="D185" s="104">
        <v>37800</v>
      </c>
      <c r="E185" s="104"/>
      <c r="F185" s="104"/>
      <c r="G185" s="168"/>
    </row>
    <row r="186" spans="1:7" s="169" customFormat="1">
      <c r="A186" s="31">
        <f t="shared" si="5"/>
        <v>25</v>
      </c>
      <c r="B186" s="6" t="s">
        <v>177</v>
      </c>
      <c r="C186" s="10" t="s">
        <v>175</v>
      </c>
      <c r="D186" s="104">
        <v>47500</v>
      </c>
      <c r="E186" s="104"/>
      <c r="F186" s="104"/>
      <c r="G186" s="168"/>
    </row>
    <row r="187" spans="1:7" s="169" customFormat="1">
      <c r="A187" s="31">
        <f t="shared" si="5"/>
        <v>26</v>
      </c>
      <c r="B187" s="6" t="s">
        <v>178</v>
      </c>
      <c r="C187" s="10" t="s">
        <v>175</v>
      </c>
      <c r="D187" s="104">
        <v>58400</v>
      </c>
      <c r="E187" s="104"/>
      <c r="F187" s="104"/>
      <c r="G187" s="168"/>
    </row>
    <row r="188" spans="1:7" s="169" customFormat="1">
      <c r="A188" s="31">
        <f t="shared" si="5"/>
        <v>27</v>
      </c>
      <c r="B188" s="6" t="s">
        <v>179</v>
      </c>
      <c r="C188" s="10" t="s">
        <v>175</v>
      </c>
      <c r="D188" s="104">
        <v>68200</v>
      </c>
      <c r="E188" s="104"/>
      <c r="F188" s="104"/>
      <c r="G188" s="168"/>
    </row>
    <row r="189" spans="1:7" s="169" customFormat="1">
      <c r="A189" s="31">
        <f t="shared" si="5"/>
        <v>28</v>
      </c>
      <c r="B189" s="6" t="s">
        <v>180</v>
      </c>
      <c r="C189" s="10" t="s">
        <v>175</v>
      </c>
      <c r="D189" s="104">
        <v>79100</v>
      </c>
      <c r="E189" s="104"/>
      <c r="F189" s="104"/>
      <c r="G189" s="168"/>
    </row>
    <row r="190" spans="1:7" s="169" customFormat="1">
      <c r="A190" s="31">
        <f t="shared" si="5"/>
        <v>29</v>
      </c>
      <c r="B190" s="6" t="s">
        <v>181</v>
      </c>
      <c r="C190" s="10" t="s">
        <v>175</v>
      </c>
      <c r="D190" s="104">
        <v>94400</v>
      </c>
      <c r="E190" s="104"/>
      <c r="F190" s="104"/>
      <c r="G190" s="168"/>
    </row>
    <row r="191" spans="1:7" s="169" customFormat="1">
      <c r="A191" s="31">
        <f t="shared" si="5"/>
        <v>30</v>
      </c>
      <c r="B191" s="6" t="s">
        <v>182</v>
      </c>
      <c r="C191" s="10" t="s">
        <v>175</v>
      </c>
      <c r="D191" s="104">
        <v>107000</v>
      </c>
      <c r="E191" s="104"/>
      <c r="F191" s="104"/>
      <c r="G191" s="168"/>
    </row>
    <row r="192" spans="1:7" s="169" customFormat="1">
      <c r="A192" s="32">
        <f t="shared" si="5"/>
        <v>31</v>
      </c>
      <c r="B192" s="7" t="s">
        <v>183</v>
      </c>
      <c r="C192" s="33" t="s">
        <v>175</v>
      </c>
      <c r="D192" s="106">
        <v>118000</v>
      </c>
      <c r="E192" s="106"/>
      <c r="F192" s="106"/>
      <c r="G192" s="168"/>
    </row>
    <row r="193" spans="1:7" s="169" customFormat="1" ht="15.75">
      <c r="A193" s="34"/>
      <c r="B193" s="214" t="s">
        <v>184</v>
      </c>
      <c r="C193" s="214"/>
      <c r="D193" s="214"/>
      <c r="E193" s="214"/>
      <c r="F193" s="214"/>
      <c r="G193" s="168"/>
    </row>
    <row r="194" spans="1:7" s="169" customFormat="1">
      <c r="A194" s="31">
        <f>+A192+1</f>
        <v>32</v>
      </c>
      <c r="B194" s="6" t="s">
        <v>185</v>
      </c>
      <c r="C194" s="10" t="s">
        <v>142</v>
      </c>
      <c r="D194" s="104">
        <v>44100</v>
      </c>
      <c r="E194" s="104"/>
      <c r="F194" s="104"/>
      <c r="G194" s="168"/>
    </row>
    <row r="195" spans="1:7" s="169" customFormat="1">
      <c r="A195" s="31">
        <f>+A194+1</f>
        <v>33</v>
      </c>
      <c r="B195" s="6" t="s">
        <v>186</v>
      </c>
      <c r="C195" s="10" t="s">
        <v>142</v>
      </c>
      <c r="D195" s="104">
        <v>61900</v>
      </c>
      <c r="E195" s="104"/>
      <c r="F195" s="104"/>
      <c r="G195" s="168"/>
    </row>
    <row r="196" spans="1:7" s="169" customFormat="1">
      <c r="A196" s="32">
        <f>+A195+1</f>
        <v>34</v>
      </c>
      <c r="B196" s="7" t="s">
        <v>187</v>
      </c>
      <c r="C196" s="33" t="s">
        <v>142</v>
      </c>
      <c r="D196" s="106">
        <v>85100</v>
      </c>
      <c r="E196" s="106"/>
      <c r="F196" s="106"/>
      <c r="G196" s="168"/>
    </row>
    <row r="197" spans="1:7" s="169" customFormat="1" ht="36.950000000000003" customHeight="1">
      <c r="A197" s="34"/>
      <c r="B197" s="214" t="s">
        <v>188</v>
      </c>
      <c r="C197" s="214"/>
      <c r="D197" s="214"/>
      <c r="E197" s="214"/>
      <c r="F197" s="214"/>
      <c r="G197" s="168"/>
    </row>
    <row r="198" spans="1:7" s="169" customFormat="1">
      <c r="A198" s="31">
        <v>1</v>
      </c>
      <c r="B198" s="6" t="s">
        <v>189</v>
      </c>
      <c r="C198" s="10" t="s">
        <v>142</v>
      </c>
      <c r="D198" s="104">
        <v>47000</v>
      </c>
      <c r="E198" s="104"/>
      <c r="F198" s="104"/>
      <c r="G198" s="168"/>
    </row>
    <row r="199" spans="1:7" s="169" customFormat="1">
      <c r="A199" s="32">
        <f>+A198+1</f>
        <v>2</v>
      </c>
      <c r="B199" s="7" t="s">
        <v>190</v>
      </c>
      <c r="C199" s="33" t="s">
        <v>142</v>
      </c>
      <c r="D199" s="106">
        <v>65000</v>
      </c>
      <c r="E199" s="106"/>
      <c r="F199" s="106"/>
      <c r="G199" s="168"/>
    </row>
    <row r="200" spans="1:7" s="169" customFormat="1" ht="30.95" customHeight="1">
      <c r="A200" s="34"/>
      <c r="B200" s="214" t="s">
        <v>191</v>
      </c>
      <c r="C200" s="214"/>
      <c r="D200" s="214"/>
      <c r="E200" s="214"/>
      <c r="F200" s="214"/>
      <c r="G200" s="168"/>
    </row>
    <row r="201" spans="1:7" s="169" customFormat="1">
      <c r="A201" s="31"/>
      <c r="B201" s="8" t="s">
        <v>192</v>
      </c>
      <c r="C201" s="49"/>
      <c r="D201" s="138"/>
      <c r="E201" s="138"/>
      <c r="F201" s="138"/>
      <c r="G201" s="168"/>
    </row>
    <row r="202" spans="1:7" s="169" customFormat="1">
      <c r="A202" s="31">
        <v>1</v>
      </c>
      <c r="B202" s="6" t="s">
        <v>193</v>
      </c>
      <c r="C202" s="10" t="s">
        <v>194</v>
      </c>
      <c r="D202" s="104">
        <v>270000</v>
      </c>
      <c r="E202" s="104"/>
      <c r="F202" s="104"/>
      <c r="G202" s="168"/>
    </row>
    <row r="203" spans="1:7" s="169" customFormat="1">
      <c r="A203" s="31">
        <f t="shared" ref="A203:A219" si="6">+A202+1</f>
        <v>2</v>
      </c>
      <c r="B203" s="6" t="s">
        <v>195</v>
      </c>
      <c r="C203" s="10" t="s">
        <v>194</v>
      </c>
      <c r="D203" s="104">
        <v>280000</v>
      </c>
      <c r="E203" s="104"/>
      <c r="F203" s="104"/>
      <c r="G203" s="168"/>
    </row>
    <row r="204" spans="1:7" s="169" customFormat="1">
      <c r="A204" s="31">
        <f t="shared" si="6"/>
        <v>3</v>
      </c>
      <c r="B204" s="6" t="s">
        <v>196</v>
      </c>
      <c r="C204" s="10" t="s">
        <v>194</v>
      </c>
      <c r="D204" s="104">
        <v>290000</v>
      </c>
      <c r="E204" s="104"/>
      <c r="F204" s="104"/>
      <c r="G204" s="168"/>
    </row>
    <row r="205" spans="1:7" s="169" customFormat="1">
      <c r="A205" s="31">
        <f t="shared" si="6"/>
        <v>4</v>
      </c>
      <c r="B205" s="6" t="s">
        <v>197</v>
      </c>
      <c r="C205" s="10" t="s">
        <v>194</v>
      </c>
      <c r="D205" s="104">
        <v>420000</v>
      </c>
      <c r="E205" s="104"/>
      <c r="F205" s="104"/>
      <c r="G205" s="168"/>
    </row>
    <row r="206" spans="1:7" s="169" customFormat="1">
      <c r="A206" s="31">
        <f t="shared" si="6"/>
        <v>5</v>
      </c>
      <c r="B206" s="6" t="s">
        <v>198</v>
      </c>
      <c r="C206" s="10" t="s">
        <v>194</v>
      </c>
      <c r="D206" s="104">
        <v>470000</v>
      </c>
      <c r="E206" s="104"/>
      <c r="F206" s="104"/>
      <c r="G206" s="168"/>
    </row>
    <row r="207" spans="1:7" s="169" customFormat="1">
      <c r="A207" s="31">
        <f t="shared" si="6"/>
        <v>6</v>
      </c>
      <c r="B207" s="6" t="s">
        <v>199</v>
      </c>
      <c r="C207" s="10" t="s">
        <v>194</v>
      </c>
      <c r="D207" s="104">
        <v>500000</v>
      </c>
      <c r="E207" s="104"/>
      <c r="F207" s="104"/>
      <c r="G207" s="168"/>
    </row>
    <row r="208" spans="1:7" s="169" customFormat="1">
      <c r="A208" s="31">
        <f t="shared" si="6"/>
        <v>7</v>
      </c>
      <c r="B208" s="6" t="s">
        <v>200</v>
      </c>
      <c r="C208" s="10" t="s">
        <v>194</v>
      </c>
      <c r="D208" s="104">
        <v>670000</v>
      </c>
      <c r="E208" s="104"/>
      <c r="F208" s="104"/>
      <c r="G208" s="168"/>
    </row>
    <row r="209" spans="1:7" s="169" customFormat="1">
      <c r="A209" s="31">
        <f t="shared" si="6"/>
        <v>8</v>
      </c>
      <c r="B209" s="6" t="s">
        <v>201</v>
      </c>
      <c r="C209" s="10" t="s">
        <v>194</v>
      </c>
      <c r="D209" s="104">
        <v>730000</v>
      </c>
      <c r="E209" s="104"/>
      <c r="F209" s="104"/>
      <c r="G209" s="168"/>
    </row>
    <row r="210" spans="1:7" s="169" customFormat="1">
      <c r="A210" s="31">
        <f t="shared" si="6"/>
        <v>9</v>
      </c>
      <c r="B210" s="6" t="s">
        <v>202</v>
      </c>
      <c r="C210" s="10" t="s">
        <v>194</v>
      </c>
      <c r="D210" s="104">
        <v>850000</v>
      </c>
      <c r="E210" s="104"/>
      <c r="F210" s="104"/>
      <c r="G210" s="168"/>
    </row>
    <row r="211" spans="1:7" s="169" customFormat="1">
      <c r="A211" s="31">
        <f t="shared" si="6"/>
        <v>10</v>
      </c>
      <c r="B211" s="6" t="s">
        <v>203</v>
      </c>
      <c r="C211" s="10" t="s">
        <v>194</v>
      </c>
      <c r="D211" s="104">
        <v>1080000</v>
      </c>
      <c r="E211" s="104"/>
      <c r="F211" s="104"/>
      <c r="G211" s="168"/>
    </row>
    <row r="212" spans="1:7" s="169" customFormat="1">
      <c r="A212" s="31">
        <f t="shared" si="6"/>
        <v>11</v>
      </c>
      <c r="B212" s="6" t="s">
        <v>204</v>
      </c>
      <c r="C212" s="10" t="s">
        <v>194</v>
      </c>
      <c r="D212" s="104">
        <v>1160000</v>
      </c>
      <c r="E212" s="104"/>
      <c r="F212" s="104"/>
      <c r="G212" s="168"/>
    </row>
    <row r="213" spans="1:7" s="169" customFormat="1">
      <c r="A213" s="31">
        <f t="shared" si="6"/>
        <v>12</v>
      </c>
      <c r="B213" s="6" t="s">
        <v>205</v>
      </c>
      <c r="C213" s="10" t="s">
        <v>194</v>
      </c>
      <c r="D213" s="104">
        <v>1330000</v>
      </c>
      <c r="E213" s="104"/>
      <c r="F213" s="104"/>
      <c r="G213" s="168"/>
    </row>
    <row r="214" spans="1:7" s="169" customFormat="1">
      <c r="A214" s="31">
        <f t="shared" si="6"/>
        <v>13</v>
      </c>
      <c r="B214" s="6" t="s">
        <v>206</v>
      </c>
      <c r="C214" s="10" t="s">
        <v>194</v>
      </c>
      <c r="D214" s="104">
        <v>2100000</v>
      </c>
      <c r="E214" s="104"/>
      <c r="F214" s="104"/>
      <c r="G214" s="168"/>
    </row>
    <row r="215" spans="1:7" s="169" customFormat="1">
      <c r="A215" s="31">
        <f t="shared" si="6"/>
        <v>14</v>
      </c>
      <c r="B215" s="6" t="s">
        <v>207</v>
      </c>
      <c r="C215" s="10" t="s">
        <v>194</v>
      </c>
      <c r="D215" s="104">
        <v>2150000</v>
      </c>
      <c r="E215" s="104"/>
      <c r="F215" s="104"/>
      <c r="G215" s="168"/>
    </row>
    <row r="216" spans="1:7" s="169" customFormat="1">
      <c r="A216" s="31">
        <f t="shared" si="6"/>
        <v>15</v>
      </c>
      <c r="B216" s="6" t="s">
        <v>208</v>
      </c>
      <c r="C216" s="10" t="s">
        <v>194</v>
      </c>
      <c r="D216" s="104">
        <v>2250000</v>
      </c>
      <c r="E216" s="104"/>
      <c r="F216" s="104"/>
      <c r="G216" s="168"/>
    </row>
    <row r="217" spans="1:7" s="169" customFormat="1">
      <c r="A217" s="31">
        <f t="shared" si="6"/>
        <v>16</v>
      </c>
      <c r="B217" s="6" t="s">
        <v>209</v>
      </c>
      <c r="C217" s="10" t="s">
        <v>194</v>
      </c>
      <c r="D217" s="104">
        <v>2500000</v>
      </c>
      <c r="E217" s="104"/>
      <c r="F217" s="104"/>
      <c r="G217" s="168"/>
    </row>
    <row r="218" spans="1:7" s="169" customFormat="1">
      <c r="A218" s="31">
        <f t="shared" si="6"/>
        <v>17</v>
      </c>
      <c r="B218" s="6" t="s">
        <v>210</v>
      </c>
      <c r="C218" s="10" t="s">
        <v>194</v>
      </c>
      <c r="D218" s="104">
        <v>2700000</v>
      </c>
      <c r="E218" s="104"/>
      <c r="F218" s="104"/>
      <c r="G218" s="168"/>
    </row>
    <row r="219" spans="1:7" s="169" customFormat="1">
      <c r="A219" s="31">
        <f t="shared" si="6"/>
        <v>18</v>
      </c>
      <c r="B219" s="6" t="s">
        <v>211</v>
      </c>
      <c r="C219" s="10" t="s">
        <v>194</v>
      </c>
      <c r="D219" s="104">
        <v>2900000</v>
      </c>
      <c r="E219" s="104"/>
      <c r="F219" s="104"/>
      <c r="G219" s="168"/>
    </row>
    <row r="220" spans="1:7" s="169" customFormat="1">
      <c r="A220" s="31"/>
      <c r="B220" s="8" t="s">
        <v>212</v>
      </c>
      <c r="C220" s="10"/>
      <c r="D220" s="105"/>
      <c r="E220" s="105"/>
      <c r="F220" s="105"/>
      <c r="G220" s="168"/>
    </row>
    <row r="221" spans="1:7" s="169" customFormat="1">
      <c r="A221" s="31">
        <f>+A219+1</f>
        <v>19</v>
      </c>
      <c r="B221" s="6" t="s">
        <v>213</v>
      </c>
      <c r="C221" s="10" t="s">
        <v>135</v>
      </c>
      <c r="D221" s="104">
        <v>130000</v>
      </c>
      <c r="E221" s="105"/>
      <c r="F221" s="105"/>
      <c r="G221" s="168"/>
    </row>
    <row r="222" spans="1:7" s="169" customFormat="1">
      <c r="A222" s="31">
        <f>+A221+1</f>
        <v>20</v>
      </c>
      <c r="B222" s="6" t="s">
        <v>214</v>
      </c>
      <c r="C222" s="10" t="s">
        <v>135</v>
      </c>
      <c r="D222" s="104">
        <v>190000</v>
      </c>
      <c r="E222" s="105"/>
      <c r="F222" s="105"/>
      <c r="G222" s="168"/>
    </row>
    <row r="223" spans="1:7" s="169" customFormat="1">
      <c r="A223" s="31">
        <f>+A222+1</f>
        <v>21</v>
      </c>
      <c r="B223" s="6" t="s">
        <v>215</v>
      </c>
      <c r="C223" s="10" t="s">
        <v>135</v>
      </c>
      <c r="D223" s="104">
        <v>240000</v>
      </c>
      <c r="E223" s="105"/>
      <c r="F223" s="105"/>
      <c r="G223" s="168"/>
    </row>
    <row r="224" spans="1:7" s="169" customFormat="1">
      <c r="A224" s="31">
        <f>+A223+1</f>
        <v>22</v>
      </c>
      <c r="B224" s="6" t="s">
        <v>216</v>
      </c>
      <c r="C224" s="10" t="s">
        <v>135</v>
      </c>
      <c r="D224" s="104">
        <v>300000</v>
      </c>
      <c r="E224" s="105"/>
      <c r="F224" s="105"/>
      <c r="G224" s="168"/>
    </row>
    <row r="225" spans="1:7" s="169" customFormat="1">
      <c r="A225" s="31"/>
      <c r="B225" s="8" t="s">
        <v>217</v>
      </c>
      <c r="C225" s="10"/>
      <c r="D225" s="104"/>
      <c r="E225" s="105"/>
      <c r="F225" s="105"/>
      <c r="G225" s="168"/>
    </row>
    <row r="226" spans="1:7" s="169" customFormat="1">
      <c r="A226" s="31">
        <f>+A224+1</f>
        <v>23</v>
      </c>
      <c r="B226" s="6" t="s">
        <v>218</v>
      </c>
      <c r="C226" s="10" t="s">
        <v>135</v>
      </c>
      <c r="D226" s="104">
        <v>36000</v>
      </c>
      <c r="E226" s="105"/>
      <c r="F226" s="105"/>
      <c r="G226" s="168"/>
    </row>
    <row r="227" spans="1:7" s="169" customFormat="1">
      <c r="A227" s="31">
        <f t="shared" ref="A227:A235" si="7">+A226+1</f>
        <v>24</v>
      </c>
      <c r="B227" s="6" t="s">
        <v>219</v>
      </c>
      <c r="C227" s="10" t="s">
        <v>135</v>
      </c>
      <c r="D227" s="104">
        <v>45000</v>
      </c>
      <c r="E227" s="105"/>
      <c r="F227" s="105"/>
      <c r="G227" s="168"/>
    </row>
    <row r="228" spans="1:7" s="169" customFormat="1">
      <c r="A228" s="31">
        <f t="shared" si="7"/>
        <v>25</v>
      </c>
      <c r="B228" s="6" t="s">
        <v>220</v>
      </c>
      <c r="C228" s="10" t="s">
        <v>135</v>
      </c>
      <c r="D228" s="104">
        <v>65000</v>
      </c>
      <c r="E228" s="105"/>
      <c r="F228" s="105"/>
      <c r="G228" s="168"/>
    </row>
    <row r="229" spans="1:7" s="169" customFormat="1">
      <c r="A229" s="31">
        <f t="shared" si="7"/>
        <v>26</v>
      </c>
      <c r="B229" s="6" t="s">
        <v>221</v>
      </c>
      <c r="C229" s="10" t="s">
        <v>135</v>
      </c>
      <c r="D229" s="104">
        <v>110000</v>
      </c>
      <c r="E229" s="105"/>
      <c r="F229" s="105"/>
      <c r="G229" s="168"/>
    </row>
    <row r="230" spans="1:7" s="169" customFormat="1">
      <c r="A230" s="31">
        <f t="shared" si="7"/>
        <v>27</v>
      </c>
      <c r="B230" s="6" t="s">
        <v>222</v>
      </c>
      <c r="C230" s="10" t="s">
        <v>135</v>
      </c>
      <c r="D230" s="104">
        <v>130000</v>
      </c>
      <c r="E230" s="105"/>
      <c r="F230" s="105"/>
      <c r="G230" s="168"/>
    </row>
    <row r="231" spans="1:7" s="169" customFormat="1">
      <c r="A231" s="31">
        <f t="shared" si="7"/>
        <v>28</v>
      </c>
      <c r="B231" s="6" t="s">
        <v>223</v>
      </c>
      <c r="C231" s="10" t="s">
        <v>135</v>
      </c>
      <c r="D231" s="104">
        <v>33000</v>
      </c>
      <c r="E231" s="105"/>
      <c r="F231" s="105"/>
      <c r="G231" s="168"/>
    </row>
    <row r="232" spans="1:7" s="169" customFormat="1">
      <c r="A232" s="31">
        <f t="shared" si="7"/>
        <v>29</v>
      </c>
      <c r="B232" s="6" t="s">
        <v>224</v>
      </c>
      <c r="C232" s="10" t="s">
        <v>135</v>
      </c>
      <c r="D232" s="104">
        <v>41000</v>
      </c>
      <c r="E232" s="105"/>
      <c r="F232" s="105"/>
      <c r="G232" s="168"/>
    </row>
    <row r="233" spans="1:7" s="169" customFormat="1">
      <c r="A233" s="31">
        <f t="shared" si="7"/>
        <v>30</v>
      </c>
      <c r="B233" s="6" t="s">
        <v>225</v>
      </c>
      <c r="C233" s="10" t="s">
        <v>135</v>
      </c>
      <c r="D233" s="104">
        <v>55000</v>
      </c>
      <c r="E233" s="105"/>
      <c r="F233" s="105"/>
      <c r="G233" s="168"/>
    </row>
    <row r="234" spans="1:7" s="169" customFormat="1">
      <c r="A234" s="31">
        <f t="shared" si="7"/>
        <v>31</v>
      </c>
      <c r="B234" s="6" t="s">
        <v>226</v>
      </c>
      <c r="C234" s="10" t="s">
        <v>135</v>
      </c>
      <c r="D234" s="104">
        <v>71000</v>
      </c>
      <c r="E234" s="105"/>
      <c r="F234" s="105"/>
      <c r="G234" s="168"/>
    </row>
    <row r="235" spans="1:7" s="169" customFormat="1">
      <c r="A235" s="32">
        <f t="shared" si="7"/>
        <v>32</v>
      </c>
      <c r="B235" s="7" t="s">
        <v>227</v>
      </c>
      <c r="C235" s="33" t="s">
        <v>135</v>
      </c>
      <c r="D235" s="106">
        <v>132000</v>
      </c>
      <c r="E235" s="107"/>
      <c r="F235" s="107"/>
      <c r="G235" s="168"/>
    </row>
    <row r="236" spans="1:7" s="169" customFormat="1" ht="37.5" customHeight="1">
      <c r="A236" s="44"/>
      <c r="B236" s="214" t="s">
        <v>228</v>
      </c>
      <c r="C236" s="214"/>
      <c r="D236" s="214"/>
      <c r="E236" s="214"/>
      <c r="F236" s="214"/>
      <c r="G236" s="168"/>
    </row>
    <row r="237" spans="1:7" s="169" customFormat="1">
      <c r="A237" s="10">
        <v>1</v>
      </c>
      <c r="B237" s="6" t="s">
        <v>229</v>
      </c>
      <c r="C237" s="10" t="s">
        <v>142</v>
      </c>
      <c r="D237" s="104">
        <v>48182</v>
      </c>
      <c r="E237" s="104"/>
      <c r="F237" s="104"/>
      <c r="G237" s="168"/>
    </row>
    <row r="238" spans="1:7" s="169" customFormat="1">
      <c r="A238" s="10">
        <f>+A237+1</f>
        <v>2</v>
      </c>
      <c r="B238" s="6" t="s">
        <v>230</v>
      </c>
      <c r="C238" s="10" t="s">
        <v>142</v>
      </c>
      <c r="D238" s="104">
        <v>64545</v>
      </c>
      <c r="E238" s="104"/>
      <c r="F238" s="104"/>
      <c r="G238" s="168"/>
    </row>
    <row r="239" spans="1:7" s="169" customFormat="1">
      <c r="A239" s="10">
        <f>+A238+1</f>
        <v>3</v>
      </c>
      <c r="B239" s="6" t="s">
        <v>231</v>
      </c>
      <c r="C239" s="10" t="s">
        <v>142</v>
      </c>
      <c r="D239" s="104">
        <v>93636</v>
      </c>
      <c r="E239" s="104"/>
      <c r="F239" s="104"/>
      <c r="G239" s="168"/>
    </row>
    <row r="240" spans="1:7" s="169" customFormat="1">
      <c r="A240" s="33">
        <f>+A239+1</f>
        <v>4</v>
      </c>
      <c r="B240" s="7" t="s">
        <v>232</v>
      </c>
      <c r="C240" s="33" t="s">
        <v>142</v>
      </c>
      <c r="D240" s="106">
        <v>127273</v>
      </c>
      <c r="E240" s="106"/>
      <c r="F240" s="106"/>
      <c r="G240" s="168"/>
    </row>
    <row r="241" spans="1:7" s="169" customFormat="1" ht="30" customHeight="1">
      <c r="A241" s="30"/>
      <c r="B241" s="214" t="s">
        <v>233</v>
      </c>
      <c r="C241" s="214"/>
      <c r="D241" s="214"/>
      <c r="E241" s="214"/>
      <c r="F241" s="214"/>
      <c r="G241" s="168"/>
    </row>
    <row r="242" spans="1:7" s="169" customFormat="1" ht="15.75">
      <c r="A242" s="185"/>
      <c r="B242" s="8" t="s">
        <v>234</v>
      </c>
      <c r="C242" s="10"/>
      <c r="D242" s="105"/>
      <c r="E242" s="105"/>
      <c r="F242" s="105"/>
      <c r="G242" s="168"/>
    </row>
    <row r="243" spans="1:7" s="169" customFormat="1" ht="15.75">
      <c r="A243" s="185"/>
      <c r="B243" s="6" t="s">
        <v>159</v>
      </c>
      <c r="C243" s="10"/>
      <c r="D243" s="105"/>
      <c r="E243" s="105"/>
      <c r="F243" s="105"/>
      <c r="G243" s="168"/>
    </row>
    <row r="244" spans="1:7" s="169" customFormat="1" ht="18.75">
      <c r="A244" s="12">
        <v>1</v>
      </c>
      <c r="B244" s="6" t="s">
        <v>235</v>
      </c>
      <c r="C244" s="10" t="s">
        <v>142</v>
      </c>
      <c r="D244" s="104">
        <v>270000</v>
      </c>
      <c r="E244" s="105"/>
      <c r="F244" s="105"/>
      <c r="G244" s="168"/>
    </row>
    <row r="245" spans="1:7" s="169" customFormat="1">
      <c r="A245" s="12">
        <f>+A244+1</f>
        <v>2</v>
      </c>
      <c r="B245" s="6" t="s">
        <v>161</v>
      </c>
      <c r="C245" s="10" t="s">
        <v>142</v>
      </c>
      <c r="D245" s="104">
        <v>285000</v>
      </c>
      <c r="E245" s="105"/>
      <c r="F245" s="105"/>
      <c r="G245" s="168"/>
    </row>
    <row r="246" spans="1:7" s="169" customFormat="1">
      <c r="A246" s="12">
        <f>+A245+1</f>
        <v>3</v>
      </c>
      <c r="B246" s="6" t="s">
        <v>162</v>
      </c>
      <c r="C246" s="10" t="s">
        <v>142</v>
      </c>
      <c r="D246" s="104">
        <v>300000</v>
      </c>
      <c r="E246" s="105"/>
      <c r="F246" s="105"/>
      <c r="G246" s="168"/>
    </row>
    <row r="247" spans="1:7" s="169" customFormat="1">
      <c r="A247" s="12"/>
      <c r="B247" s="8" t="s">
        <v>236</v>
      </c>
      <c r="C247" s="10"/>
      <c r="D247" s="104"/>
      <c r="E247" s="105"/>
      <c r="F247" s="105"/>
      <c r="G247" s="168"/>
    </row>
    <row r="248" spans="1:7" s="169" customFormat="1" ht="18.75">
      <c r="A248" s="12">
        <f>+A246+1</f>
        <v>4</v>
      </c>
      <c r="B248" s="6" t="s">
        <v>235</v>
      </c>
      <c r="C248" s="10" t="s">
        <v>142</v>
      </c>
      <c r="D248" s="104">
        <v>420000</v>
      </c>
      <c r="E248" s="105"/>
      <c r="F248" s="105"/>
      <c r="G248" s="168"/>
    </row>
    <row r="249" spans="1:7" s="169" customFormat="1">
      <c r="A249" s="12">
        <f>+A248+1</f>
        <v>5</v>
      </c>
      <c r="B249" s="6" t="s">
        <v>161</v>
      </c>
      <c r="C249" s="10" t="s">
        <v>142</v>
      </c>
      <c r="D249" s="104">
        <v>470000</v>
      </c>
      <c r="E249" s="105"/>
      <c r="F249" s="105"/>
      <c r="G249" s="168"/>
    </row>
    <row r="250" spans="1:7" s="169" customFormat="1">
      <c r="A250" s="12">
        <f>+A249+1</f>
        <v>6</v>
      </c>
      <c r="B250" s="6" t="s">
        <v>162</v>
      </c>
      <c r="C250" s="10" t="s">
        <v>142</v>
      </c>
      <c r="D250" s="104">
        <v>500000</v>
      </c>
      <c r="E250" s="105"/>
      <c r="F250" s="105"/>
      <c r="G250" s="168"/>
    </row>
    <row r="251" spans="1:7" s="169" customFormat="1">
      <c r="A251" s="12"/>
      <c r="B251" s="8" t="s">
        <v>164</v>
      </c>
      <c r="C251" s="10"/>
      <c r="D251" s="104"/>
      <c r="E251" s="105"/>
      <c r="F251" s="105"/>
      <c r="G251" s="168"/>
    </row>
    <row r="252" spans="1:7" s="169" customFormat="1" ht="18.75">
      <c r="A252" s="12">
        <f>+A250+1</f>
        <v>7</v>
      </c>
      <c r="B252" s="6" t="s">
        <v>235</v>
      </c>
      <c r="C252" s="10" t="s">
        <v>142</v>
      </c>
      <c r="D252" s="104">
        <v>670000</v>
      </c>
      <c r="E252" s="105"/>
      <c r="F252" s="105"/>
      <c r="G252" s="168"/>
    </row>
    <row r="253" spans="1:7" s="169" customFormat="1">
      <c r="A253" s="12">
        <f>+A252+1</f>
        <v>8</v>
      </c>
      <c r="B253" s="6" t="s">
        <v>161</v>
      </c>
      <c r="C253" s="10" t="s">
        <v>142</v>
      </c>
      <c r="D253" s="104">
        <v>740000</v>
      </c>
      <c r="E253" s="105"/>
      <c r="F253" s="105"/>
      <c r="G253" s="168"/>
    </row>
    <row r="254" spans="1:7" s="169" customFormat="1">
      <c r="A254" s="12">
        <f>+A253+1</f>
        <v>9</v>
      </c>
      <c r="B254" s="6" t="s">
        <v>162</v>
      </c>
      <c r="C254" s="10" t="s">
        <v>142</v>
      </c>
      <c r="D254" s="104">
        <v>860000</v>
      </c>
      <c r="E254" s="105"/>
      <c r="F254" s="105"/>
      <c r="G254" s="168"/>
    </row>
    <row r="255" spans="1:7" s="169" customFormat="1">
      <c r="A255" s="173"/>
      <c r="B255" s="8" t="s">
        <v>237</v>
      </c>
      <c r="C255" s="10"/>
      <c r="D255" s="104"/>
      <c r="E255" s="105"/>
      <c r="F255" s="105"/>
      <c r="G255" s="168"/>
    </row>
    <row r="256" spans="1:7" s="169" customFormat="1" ht="18.75">
      <c r="A256" s="12">
        <f>+A254+1</f>
        <v>10</v>
      </c>
      <c r="B256" s="6" t="s">
        <v>235</v>
      </c>
      <c r="C256" s="10" t="s">
        <v>142</v>
      </c>
      <c r="D256" s="104">
        <v>1080000</v>
      </c>
      <c r="E256" s="105"/>
      <c r="F256" s="105"/>
      <c r="G256" s="168"/>
    </row>
    <row r="257" spans="1:7" s="169" customFormat="1">
      <c r="A257" s="12">
        <f>+A256+1</f>
        <v>11</v>
      </c>
      <c r="B257" s="6" t="s">
        <v>161</v>
      </c>
      <c r="C257" s="10" t="s">
        <v>142</v>
      </c>
      <c r="D257" s="104">
        <v>1180000</v>
      </c>
      <c r="E257" s="105"/>
      <c r="F257" s="105"/>
      <c r="G257" s="168"/>
    </row>
    <row r="258" spans="1:7" s="169" customFormat="1">
      <c r="A258" s="12">
        <f>+A257+1</f>
        <v>12</v>
      </c>
      <c r="B258" s="6" t="s">
        <v>162</v>
      </c>
      <c r="C258" s="10" t="s">
        <v>142</v>
      </c>
      <c r="D258" s="104">
        <v>1350000</v>
      </c>
      <c r="E258" s="105"/>
      <c r="F258" s="105"/>
      <c r="G258" s="168"/>
    </row>
    <row r="259" spans="1:7" s="169" customFormat="1">
      <c r="A259" s="12"/>
      <c r="B259" s="8" t="s">
        <v>238</v>
      </c>
      <c r="C259" s="10"/>
      <c r="D259" s="104"/>
      <c r="E259" s="105"/>
      <c r="F259" s="105"/>
      <c r="G259" s="168"/>
    </row>
    <row r="260" spans="1:7" s="169" customFormat="1" ht="18.75">
      <c r="A260" s="12">
        <f>+A258+1</f>
        <v>13</v>
      </c>
      <c r="B260" s="6" t="s">
        <v>235</v>
      </c>
      <c r="C260" s="10" t="s">
        <v>142</v>
      </c>
      <c r="D260" s="104">
        <v>2100000</v>
      </c>
      <c r="E260" s="105"/>
      <c r="F260" s="105"/>
      <c r="G260" s="168"/>
    </row>
    <row r="261" spans="1:7" s="169" customFormat="1">
      <c r="A261" s="12">
        <f>+A260+1</f>
        <v>14</v>
      </c>
      <c r="B261" s="6" t="s">
        <v>161</v>
      </c>
      <c r="C261" s="10" t="s">
        <v>142</v>
      </c>
      <c r="D261" s="104">
        <v>2150000</v>
      </c>
      <c r="E261" s="105"/>
      <c r="F261" s="105"/>
      <c r="G261" s="168"/>
    </row>
    <row r="262" spans="1:7" s="169" customFormat="1">
      <c r="A262" s="12">
        <f>+A261+1</f>
        <v>15</v>
      </c>
      <c r="B262" s="6" t="s">
        <v>162</v>
      </c>
      <c r="C262" s="10" t="s">
        <v>142</v>
      </c>
      <c r="D262" s="104">
        <v>2300000</v>
      </c>
      <c r="E262" s="105"/>
      <c r="F262" s="105"/>
      <c r="G262" s="168"/>
    </row>
    <row r="263" spans="1:7" s="169" customFormat="1">
      <c r="A263" s="12"/>
      <c r="B263" s="8" t="s">
        <v>239</v>
      </c>
      <c r="C263" s="10"/>
      <c r="D263" s="104"/>
      <c r="E263" s="105"/>
      <c r="F263" s="105"/>
      <c r="G263" s="168"/>
    </row>
    <row r="264" spans="1:7" s="169" customFormat="1" ht="18.75">
      <c r="A264" s="12">
        <f>+A262+1</f>
        <v>16</v>
      </c>
      <c r="B264" s="6" t="s">
        <v>235</v>
      </c>
      <c r="C264" s="10" t="s">
        <v>142</v>
      </c>
      <c r="D264" s="104">
        <v>2500000</v>
      </c>
      <c r="E264" s="105"/>
      <c r="F264" s="105"/>
      <c r="G264" s="168"/>
    </row>
    <row r="265" spans="1:7" s="169" customFormat="1">
      <c r="A265" s="31">
        <f>+A264+1</f>
        <v>17</v>
      </c>
      <c r="B265" s="6" t="s">
        <v>161</v>
      </c>
      <c r="C265" s="10" t="s">
        <v>142</v>
      </c>
      <c r="D265" s="104">
        <v>2700000</v>
      </c>
      <c r="E265" s="105"/>
      <c r="F265" s="105"/>
      <c r="G265" s="168"/>
    </row>
    <row r="266" spans="1:7" s="169" customFormat="1">
      <c r="A266" s="57">
        <f>+A265+1</f>
        <v>18</v>
      </c>
      <c r="B266" s="78" t="s">
        <v>162</v>
      </c>
      <c r="C266" s="38" t="s">
        <v>142</v>
      </c>
      <c r="D266" s="109">
        <v>2950000</v>
      </c>
      <c r="E266" s="117"/>
      <c r="F266" s="117"/>
      <c r="G266" s="168"/>
    </row>
    <row r="267" spans="1:7" s="169" customFormat="1" ht="15.75">
      <c r="A267" s="176" t="s">
        <v>240</v>
      </c>
      <c r="B267" s="179" t="s">
        <v>241</v>
      </c>
      <c r="C267" s="186"/>
      <c r="D267" s="162"/>
      <c r="E267" s="162"/>
      <c r="F267" s="162"/>
      <c r="G267" s="168"/>
    </row>
    <row r="268" spans="1:7" s="169" customFormat="1" ht="23.1" customHeight="1">
      <c r="A268" s="31"/>
      <c r="B268" s="214" t="s">
        <v>242</v>
      </c>
      <c r="C268" s="214"/>
      <c r="D268" s="214"/>
      <c r="E268" s="214"/>
      <c r="F268" s="214"/>
      <c r="G268" s="168"/>
    </row>
    <row r="269" spans="1:7" s="169" customFormat="1">
      <c r="A269" s="31">
        <v>1</v>
      </c>
      <c r="B269" s="6" t="s">
        <v>243</v>
      </c>
      <c r="C269" s="10" t="s">
        <v>244</v>
      </c>
      <c r="D269" s="104">
        <v>66364</v>
      </c>
      <c r="E269" s="127"/>
      <c r="F269" s="128"/>
      <c r="G269" s="168"/>
    </row>
    <row r="270" spans="1:7" s="169" customFormat="1">
      <c r="A270" s="31">
        <f>+A269+1</f>
        <v>2</v>
      </c>
      <c r="B270" s="6" t="s">
        <v>245</v>
      </c>
      <c r="C270" s="10" t="s">
        <v>244</v>
      </c>
      <c r="D270" s="104">
        <v>69091</v>
      </c>
      <c r="E270" s="127"/>
      <c r="F270" s="128"/>
      <c r="G270" s="168"/>
    </row>
    <row r="271" spans="1:7" s="169" customFormat="1">
      <c r="A271" s="31">
        <f>+A270+1</f>
        <v>3</v>
      </c>
      <c r="B271" s="6" t="s">
        <v>246</v>
      </c>
      <c r="C271" s="10" t="s">
        <v>244</v>
      </c>
      <c r="D271" s="104"/>
      <c r="E271" s="104">
        <v>147273</v>
      </c>
      <c r="F271" s="128"/>
      <c r="G271" s="168"/>
    </row>
    <row r="272" spans="1:7" s="169" customFormat="1">
      <c r="A272" s="32">
        <f>+A271+1</f>
        <v>4</v>
      </c>
      <c r="B272" s="7" t="s">
        <v>247</v>
      </c>
      <c r="C272" s="33" t="s">
        <v>244</v>
      </c>
      <c r="D272" s="104"/>
      <c r="E272" s="106">
        <v>81818</v>
      </c>
      <c r="F272" s="129"/>
      <c r="G272" s="168"/>
    </row>
    <row r="273" spans="1:7" s="169" customFormat="1" ht="29.45" customHeight="1">
      <c r="A273" s="34"/>
      <c r="B273" s="213" t="s">
        <v>248</v>
      </c>
      <c r="C273" s="213"/>
      <c r="D273" s="213"/>
      <c r="E273" s="213"/>
      <c r="F273" s="213"/>
      <c r="G273" s="168"/>
    </row>
    <row r="274" spans="1:7" s="169" customFormat="1">
      <c r="A274" s="31">
        <v>1</v>
      </c>
      <c r="B274" s="6" t="s">
        <v>249</v>
      </c>
      <c r="C274" s="10" t="s">
        <v>244</v>
      </c>
      <c r="D274" s="104">
        <f>1550000/1000/1.1*50</f>
        <v>70454.545454545456</v>
      </c>
      <c r="E274" s="104"/>
      <c r="F274" s="104"/>
      <c r="G274" s="168"/>
    </row>
    <row r="275" spans="1:7" s="169" customFormat="1">
      <c r="A275" s="31">
        <f>+A274+1</f>
        <v>2</v>
      </c>
      <c r="B275" s="6" t="s">
        <v>250</v>
      </c>
      <c r="C275" s="10" t="s">
        <v>244</v>
      </c>
      <c r="D275" s="104">
        <f>1380000/1000/1.1*50</f>
        <v>62727.272727272728</v>
      </c>
      <c r="E275" s="104"/>
      <c r="F275" s="104"/>
      <c r="G275" s="168"/>
    </row>
    <row r="276" spans="1:7" s="169" customFormat="1">
      <c r="A276" s="31">
        <f>+A275+1</f>
        <v>3</v>
      </c>
      <c r="B276" s="6" t="s">
        <v>251</v>
      </c>
      <c r="C276" s="10" t="s">
        <v>244</v>
      </c>
      <c r="D276" s="104">
        <f>1340000/1000/1.1*50</f>
        <v>60909.090909090897</v>
      </c>
      <c r="E276" s="104"/>
      <c r="F276" s="104"/>
      <c r="G276" s="168"/>
    </row>
    <row r="277" spans="1:7" s="169" customFormat="1">
      <c r="A277" s="31">
        <f>+A276+1</f>
        <v>4</v>
      </c>
      <c r="B277" s="7" t="s">
        <v>252</v>
      </c>
      <c r="C277" s="33" t="s">
        <v>244</v>
      </c>
      <c r="D277" s="106">
        <f>1610000/1000/1.1*50</f>
        <v>73181.818181818177</v>
      </c>
      <c r="E277" s="106"/>
      <c r="F277" s="106"/>
      <c r="G277" s="168"/>
    </row>
    <row r="278" spans="1:7" s="169" customFormat="1" ht="15.75">
      <c r="A278" s="34"/>
      <c r="B278" s="213" t="s">
        <v>253</v>
      </c>
      <c r="C278" s="213"/>
      <c r="D278" s="213"/>
      <c r="E278" s="213"/>
      <c r="F278" s="213"/>
      <c r="G278" s="168"/>
    </row>
    <row r="279" spans="1:7" s="169" customFormat="1">
      <c r="A279" s="32">
        <v>1</v>
      </c>
      <c r="B279" s="7" t="s">
        <v>254</v>
      </c>
      <c r="C279" s="33" t="s">
        <v>244</v>
      </c>
      <c r="D279" s="107"/>
      <c r="E279" s="106">
        <f>84000/1.1</f>
        <v>76363.636363636353</v>
      </c>
      <c r="F279" s="135"/>
      <c r="G279" s="168"/>
    </row>
    <row r="280" spans="1:7" s="169" customFormat="1" ht="15.75">
      <c r="A280" s="44"/>
      <c r="B280" s="213" t="s">
        <v>255</v>
      </c>
      <c r="C280" s="213"/>
      <c r="D280" s="213"/>
      <c r="E280" s="213"/>
      <c r="F280" s="213"/>
      <c r="G280" s="168"/>
    </row>
    <row r="281" spans="1:7" s="169" customFormat="1">
      <c r="A281" s="51">
        <v>1</v>
      </c>
      <c r="B281" s="7" t="s">
        <v>256</v>
      </c>
      <c r="C281" s="33" t="s">
        <v>244</v>
      </c>
      <c r="D281" s="107"/>
      <c r="E281" s="106">
        <f>86000/1.1</f>
        <v>78181.818181818177</v>
      </c>
      <c r="F281" s="106">
        <f>88000/1.1</f>
        <v>80000</v>
      </c>
      <c r="G281" s="168"/>
    </row>
    <row r="282" spans="1:7" s="169" customFormat="1" ht="51.6" customHeight="1">
      <c r="A282" s="45"/>
      <c r="B282" s="214" t="s">
        <v>257</v>
      </c>
      <c r="C282" s="214"/>
      <c r="D282" s="214"/>
      <c r="E282" s="214"/>
      <c r="F282" s="214"/>
      <c r="G282" s="168"/>
    </row>
    <row r="283" spans="1:7" s="169" customFormat="1">
      <c r="A283" s="37">
        <v>1</v>
      </c>
      <c r="B283" s="78" t="s">
        <v>258</v>
      </c>
      <c r="C283" s="38" t="s">
        <v>244</v>
      </c>
      <c r="D283" s="117"/>
      <c r="E283" s="109">
        <v>62000</v>
      </c>
      <c r="F283" s="109"/>
      <c r="G283" s="168"/>
    </row>
    <row r="284" spans="1:7" s="169" customFormat="1" ht="15.75">
      <c r="A284" s="176" t="s">
        <v>259</v>
      </c>
      <c r="B284" s="179" t="s">
        <v>260</v>
      </c>
      <c r="C284" s="186"/>
      <c r="D284" s="162"/>
      <c r="E284" s="162"/>
      <c r="F284" s="162"/>
      <c r="G284" s="168"/>
    </row>
    <row r="285" spans="1:7" s="169" customFormat="1" ht="33.6" customHeight="1">
      <c r="A285" s="34"/>
      <c r="B285" s="214" t="s">
        <v>261</v>
      </c>
      <c r="C285" s="214"/>
      <c r="D285" s="214"/>
      <c r="E285" s="214"/>
      <c r="F285" s="214"/>
      <c r="G285" s="168"/>
    </row>
    <row r="286" spans="1:7" s="169" customFormat="1">
      <c r="A286" s="31">
        <v>1</v>
      </c>
      <c r="B286" s="6" t="s">
        <v>262</v>
      </c>
      <c r="C286" s="10" t="s">
        <v>78</v>
      </c>
      <c r="D286" s="104">
        <v>13100</v>
      </c>
      <c r="E286" s="104"/>
      <c r="F286" s="104"/>
      <c r="G286" s="168"/>
    </row>
    <row r="287" spans="1:7" s="169" customFormat="1">
      <c r="A287" s="31">
        <f t="shared" ref="A287:A300" si="8">+A286+1</f>
        <v>2</v>
      </c>
      <c r="B287" s="6" t="s">
        <v>263</v>
      </c>
      <c r="C287" s="10" t="s">
        <v>78</v>
      </c>
      <c r="D287" s="104">
        <v>13100</v>
      </c>
      <c r="E287" s="104"/>
      <c r="F287" s="104"/>
      <c r="G287" s="168"/>
    </row>
    <row r="288" spans="1:7" s="169" customFormat="1">
      <c r="A288" s="31">
        <f t="shared" si="8"/>
        <v>3</v>
      </c>
      <c r="B288" s="6" t="s">
        <v>264</v>
      </c>
      <c r="C288" s="10" t="s">
        <v>78</v>
      </c>
      <c r="D288" s="104">
        <v>13340</v>
      </c>
      <c r="E288" s="104"/>
      <c r="F288" s="104"/>
      <c r="G288" s="168"/>
    </row>
    <row r="289" spans="1:7" s="169" customFormat="1">
      <c r="A289" s="31">
        <f t="shared" si="8"/>
        <v>4</v>
      </c>
      <c r="B289" s="6" t="s">
        <v>265</v>
      </c>
      <c r="C289" s="10" t="s">
        <v>78</v>
      </c>
      <c r="D289" s="104">
        <v>13250</v>
      </c>
      <c r="E289" s="104"/>
      <c r="F289" s="104"/>
      <c r="G289" s="168"/>
    </row>
    <row r="290" spans="1:7" s="169" customFormat="1">
      <c r="A290" s="31">
        <f t="shared" si="8"/>
        <v>5</v>
      </c>
      <c r="B290" s="6" t="s">
        <v>266</v>
      </c>
      <c r="C290" s="10" t="s">
        <v>78</v>
      </c>
      <c r="D290" s="104">
        <v>13100</v>
      </c>
      <c r="E290" s="104"/>
      <c r="F290" s="104"/>
      <c r="G290" s="168"/>
    </row>
    <row r="291" spans="1:7" s="169" customFormat="1">
      <c r="A291" s="31">
        <f t="shared" si="8"/>
        <v>6</v>
      </c>
      <c r="B291" s="6" t="s">
        <v>267</v>
      </c>
      <c r="C291" s="10" t="s">
        <v>78</v>
      </c>
      <c r="D291" s="104">
        <v>13400</v>
      </c>
      <c r="E291" s="104"/>
      <c r="F291" s="104"/>
      <c r="G291" s="168"/>
    </row>
    <row r="292" spans="1:7" s="169" customFormat="1">
      <c r="A292" s="31">
        <f t="shared" si="8"/>
        <v>7</v>
      </c>
      <c r="B292" s="6" t="s">
        <v>268</v>
      </c>
      <c r="C292" s="10" t="s">
        <v>78</v>
      </c>
      <c r="D292" s="104">
        <v>13450</v>
      </c>
      <c r="E292" s="104"/>
      <c r="F292" s="104"/>
      <c r="G292" s="168"/>
    </row>
    <row r="293" spans="1:7" s="169" customFormat="1">
      <c r="A293" s="31">
        <f t="shared" si="8"/>
        <v>8</v>
      </c>
      <c r="B293" s="6" t="s">
        <v>269</v>
      </c>
      <c r="C293" s="10" t="s">
        <v>78</v>
      </c>
      <c r="D293" s="104">
        <v>13300</v>
      </c>
      <c r="E293" s="104"/>
      <c r="F293" s="104"/>
      <c r="G293" s="168"/>
    </row>
    <row r="294" spans="1:7" s="169" customFormat="1">
      <c r="A294" s="31">
        <f t="shared" si="8"/>
        <v>9</v>
      </c>
      <c r="B294" s="6" t="s">
        <v>270</v>
      </c>
      <c r="C294" s="10" t="s">
        <v>78</v>
      </c>
      <c r="D294" s="104">
        <v>13600</v>
      </c>
      <c r="E294" s="104"/>
      <c r="F294" s="104"/>
      <c r="G294" s="168"/>
    </row>
    <row r="295" spans="1:7" s="169" customFormat="1">
      <c r="A295" s="31">
        <f t="shared" si="8"/>
        <v>10</v>
      </c>
      <c r="B295" s="6" t="s">
        <v>271</v>
      </c>
      <c r="C295" s="10" t="s">
        <v>78</v>
      </c>
      <c r="D295" s="104">
        <v>13600</v>
      </c>
      <c r="E295" s="104"/>
      <c r="F295" s="104"/>
      <c r="G295" s="168"/>
    </row>
    <row r="296" spans="1:7" s="169" customFormat="1">
      <c r="A296" s="31">
        <f t="shared" si="8"/>
        <v>11</v>
      </c>
      <c r="B296" s="6" t="s">
        <v>272</v>
      </c>
      <c r="C296" s="10" t="s">
        <v>78</v>
      </c>
      <c r="D296" s="104">
        <v>13450</v>
      </c>
      <c r="E296" s="104"/>
      <c r="F296" s="104"/>
      <c r="G296" s="168"/>
    </row>
    <row r="297" spans="1:7" s="169" customFormat="1">
      <c r="A297" s="31">
        <f t="shared" si="8"/>
        <v>12</v>
      </c>
      <c r="B297" s="6" t="s">
        <v>273</v>
      </c>
      <c r="C297" s="10" t="s">
        <v>78</v>
      </c>
      <c r="D297" s="104">
        <v>13750</v>
      </c>
      <c r="E297" s="104"/>
      <c r="F297" s="104"/>
      <c r="G297" s="168"/>
    </row>
    <row r="298" spans="1:7" s="169" customFormat="1">
      <c r="A298" s="31">
        <f t="shared" si="8"/>
        <v>13</v>
      </c>
      <c r="B298" s="6" t="s">
        <v>274</v>
      </c>
      <c r="C298" s="10" t="s">
        <v>78</v>
      </c>
      <c r="D298" s="104">
        <v>13600</v>
      </c>
      <c r="E298" s="104"/>
      <c r="F298" s="104"/>
      <c r="G298" s="168"/>
    </row>
    <row r="299" spans="1:7" s="169" customFormat="1">
      <c r="A299" s="31">
        <f t="shared" si="8"/>
        <v>14</v>
      </c>
      <c r="B299" s="6" t="s">
        <v>275</v>
      </c>
      <c r="C299" s="10" t="s">
        <v>78</v>
      </c>
      <c r="D299" s="104">
        <v>13450</v>
      </c>
      <c r="E299" s="104"/>
      <c r="F299" s="104"/>
      <c r="G299" s="168"/>
    </row>
    <row r="300" spans="1:7" s="169" customFormat="1">
      <c r="A300" s="32">
        <f t="shared" si="8"/>
        <v>15</v>
      </c>
      <c r="B300" s="7" t="s">
        <v>276</v>
      </c>
      <c r="C300" s="33" t="s">
        <v>78</v>
      </c>
      <c r="D300" s="104">
        <v>13750</v>
      </c>
      <c r="E300" s="106"/>
      <c r="F300" s="106"/>
      <c r="G300" s="168"/>
    </row>
    <row r="301" spans="1:7" s="169" customFormat="1" ht="24.6" customHeight="1">
      <c r="A301" s="34"/>
      <c r="B301" s="214" t="s">
        <v>277</v>
      </c>
      <c r="C301" s="214"/>
      <c r="D301" s="214"/>
      <c r="E301" s="214"/>
      <c r="F301" s="214"/>
      <c r="G301" s="168"/>
    </row>
    <row r="302" spans="1:7" s="169" customFormat="1">
      <c r="A302" s="31">
        <v>1</v>
      </c>
      <c r="B302" s="6" t="s">
        <v>278</v>
      </c>
      <c r="C302" s="10" t="s">
        <v>78</v>
      </c>
      <c r="D302" s="104">
        <v>11200</v>
      </c>
      <c r="E302" s="104"/>
      <c r="F302" s="104"/>
      <c r="G302" s="168"/>
    </row>
    <row r="303" spans="1:7" s="169" customFormat="1">
      <c r="A303" s="31">
        <f>+A302+1</f>
        <v>2</v>
      </c>
      <c r="B303" s="6" t="s">
        <v>279</v>
      </c>
      <c r="C303" s="10" t="s">
        <v>78</v>
      </c>
      <c r="D303" s="104">
        <v>11200</v>
      </c>
      <c r="E303" s="104"/>
      <c r="F303" s="104"/>
      <c r="G303" s="168"/>
    </row>
    <row r="304" spans="1:7" s="169" customFormat="1">
      <c r="A304" s="31">
        <f>+A303+1</f>
        <v>3</v>
      </c>
      <c r="B304" s="6" t="s">
        <v>280</v>
      </c>
      <c r="C304" s="10" t="s">
        <v>78</v>
      </c>
      <c r="D304" s="104">
        <v>11100</v>
      </c>
      <c r="E304" s="104"/>
      <c r="F304" s="104"/>
      <c r="G304" s="168"/>
    </row>
    <row r="305" spans="1:7" s="169" customFormat="1">
      <c r="A305" s="32">
        <f>+A304+1</f>
        <v>4</v>
      </c>
      <c r="B305" s="7" t="s">
        <v>281</v>
      </c>
      <c r="C305" s="33" t="s">
        <v>78</v>
      </c>
      <c r="D305" s="106">
        <v>10950</v>
      </c>
      <c r="E305" s="106"/>
      <c r="F305" s="106"/>
      <c r="G305" s="168"/>
    </row>
    <row r="306" spans="1:7" s="169" customFormat="1" ht="33" customHeight="1">
      <c r="A306" s="34"/>
      <c r="B306" s="214" t="s">
        <v>282</v>
      </c>
      <c r="C306" s="214"/>
      <c r="D306" s="214"/>
      <c r="E306" s="214"/>
      <c r="F306" s="214"/>
      <c r="G306" s="168"/>
    </row>
    <row r="307" spans="1:7" s="169" customFormat="1">
      <c r="A307" s="31"/>
      <c r="B307" s="8" t="s">
        <v>283</v>
      </c>
      <c r="C307" s="12"/>
      <c r="D307" s="104"/>
      <c r="E307" s="104"/>
      <c r="F307" s="104"/>
      <c r="G307" s="168"/>
    </row>
    <row r="308" spans="1:7" s="169" customFormat="1">
      <c r="A308" s="31">
        <v>1</v>
      </c>
      <c r="B308" s="6" t="s">
        <v>284</v>
      </c>
      <c r="C308" s="10" t="s">
        <v>78</v>
      </c>
      <c r="D308" s="126"/>
      <c r="E308" s="104">
        <f>8500/1.1</f>
        <v>7727.272727272727</v>
      </c>
      <c r="F308" s="104"/>
      <c r="G308" s="168"/>
    </row>
    <row r="309" spans="1:7" s="169" customFormat="1">
      <c r="A309" s="31">
        <f t="shared" ref="A309:A314" si="9">+A308+1</f>
        <v>2</v>
      </c>
      <c r="B309" s="6" t="s">
        <v>285</v>
      </c>
      <c r="C309" s="10" t="s">
        <v>78</v>
      </c>
      <c r="D309" s="126"/>
      <c r="E309" s="104">
        <f>8500/1.1</f>
        <v>7727.272727272727</v>
      </c>
      <c r="F309" s="104"/>
      <c r="G309" s="168"/>
    </row>
    <row r="310" spans="1:7" s="169" customFormat="1">
      <c r="A310" s="31">
        <f t="shared" si="9"/>
        <v>3</v>
      </c>
      <c r="B310" s="6" t="s">
        <v>286</v>
      </c>
      <c r="C310" s="10" t="s">
        <v>78</v>
      </c>
      <c r="D310" s="126"/>
      <c r="E310" s="104">
        <f>8500/1.1</f>
        <v>7727.272727272727</v>
      </c>
      <c r="F310" s="104"/>
      <c r="G310" s="168"/>
    </row>
    <row r="311" spans="1:7" s="169" customFormat="1">
      <c r="A311" s="31">
        <f t="shared" si="9"/>
        <v>4</v>
      </c>
      <c r="B311" s="6" t="s">
        <v>287</v>
      </c>
      <c r="C311" s="10" t="s">
        <v>78</v>
      </c>
      <c r="D311" s="126"/>
      <c r="E311" s="104">
        <f>8600/1.1</f>
        <v>7818.1818181818171</v>
      </c>
      <c r="F311" s="104"/>
      <c r="G311" s="168"/>
    </row>
    <row r="312" spans="1:7" s="169" customFormat="1">
      <c r="A312" s="31">
        <f t="shared" si="9"/>
        <v>5</v>
      </c>
      <c r="B312" s="6" t="s">
        <v>288</v>
      </c>
      <c r="C312" s="10" t="s">
        <v>78</v>
      </c>
      <c r="D312" s="126"/>
      <c r="E312" s="104">
        <f>8700/1.1</f>
        <v>7909.0909090909081</v>
      </c>
      <c r="F312" s="104"/>
      <c r="G312" s="168"/>
    </row>
    <row r="313" spans="1:7" s="169" customFormat="1">
      <c r="A313" s="31">
        <f t="shared" si="9"/>
        <v>6</v>
      </c>
      <c r="B313" s="6" t="s">
        <v>289</v>
      </c>
      <c r="C313" s="10" t="s">
        <v>78</v>
      </c>
      <c r="D313" s="126"/>
      <c r="E313" s="104">
        <f>8700/1.1</f>
        <v>7909.0909090909081</v>
      </c>
      <c r="F313" s="104"/>
      <c r="G313" s="168"/>
    </row>
    <row r="314" spans="1:7" s="169" customFormat="1">
      <c r="A314" s="31">
        <f t="shared" si="9"/>
        <v>7</v>
      </c>
      <c r="B314" s="6" t="s">
        <v>290</v>
      </c>
      <c r="C314" s="10" t="s">
        <v>78</v>
      </c>
      <c r="D314" s="126"/>
      <c r="E314" s="104">
        <f>8700/1.1</f>
        <v>7909.0909090909081</v>
      </c>
      <c r="F314" s="104"/>
      <c r="G314" s="168"/>
    </row>
    <row r="315" spans="1:7" s="169" customFormat="1">
      <c r="A315" s="31"/>
      <c r="B315" s="8" t="s">
        <v>291</v>
      </c>
      <c r="C315" s="12"/>
      <c r="D315" s="126"/>
      <c r="E315" s="104"/>
      <c r="F315" s="104"/>
      <c r="G315" s="168"/>
    </row>
    <row r="316" spans="1:7" s="169" customFormat="1">
      <c r="A316" s="31">
        <f>+A314+1</f>
        <v>8</v>
      </c>
      <c r="B316" s="6" t="s">
        <v>292</v>
      </c>
      <c r="C316" s="10" t="s">
        <v>78</v>
      </c>
      <c r="D316" s="104"/>
      <c r="E316" s="104">
        <f>485000/(7.8*6)/1.1</f>
        <v>9421.1344211344203</v>
      </c>
      <c r="F316" s="104"/>
      <c r="G316" s="168"/>
    </row>
    <row r="317" spans="1:7" s="169" customFormat="1">
      <c r="A317" s="31">
        <f>+A316+1</f>
        <v>9</v>
      </c>
      <c r="B317" s="6" t="s">
        <v>293</v>
      </c>
      <c r="C317" s="10" t="s">
        <v>78</v>
      </c>
      <c r="D317" s="104"/>
      <c r="E317" s="104">
        <f>660000/(9*6)/1.1</f>
        <v>11111.111111111111</v>
      </c>
      <c r="F317" s="104"/>
      <c r="G317" s="168"/>
    </row>
    <row r="318" spans="1:7" s="169" customFormat="1">
      <c r="A318" s="31">
        <f>+A317+1</f>
        <v>10</v>
      </c>
      <c r="B318" s="6" t="s">
        <v>294</v>
      </c>
      <c r="C318" s="10" t="s">
        <v>78</v>
      </c>
      <c r="D318" s="104"/>
      <c r="E318" s="104">
        <f>900000/(14*6)/1.1</f>
        <v>9740.2597402597385</v>
      </c>
      <c r="F318" s="104"/>
      <c r="G318" s="168"/>
    </row>
    <row r="319" spans="1:7" s="169" customFormat="1">
      <c r="A319" s="31">
        <f>+A318+1</f>
        <v>11</v>
      </c>
      <c r="B319" s="6" t="s">
        <v>295</v>
      </c>
      <c r="C319" s="10" t="s">
        <v>78</v>
      </c>
      <c r="D319" s="104"/>
      <c r="E319" s="104">
        <f>1500000/(21.3*6)/1.1</f>
        <v>10670.081092616303</v>
      </c>
      <c r="F319" s="104"/>
      <c r="G319" s="168"/>
    </row>
    <row r="320" spans="1:7" s="169" customFormat="1">
      <c r="A320" s="31">
        <f>+A319+1</f>
        <v>12</v>
      </c>
      <c r="B320" s="6" t="s">
        <v>296</v>
      </c>
      <c r="C320" s="10" t="s">
        <v>78</v>
      </c>
      <c r="D320" s="104"/>
      <c r="E320" s="104">
        <f>1980000/(29.6*6)/1.1</f>
        <v>10135.135135135133</v>
      </c>
      <c r="F320" s="104"/>
      <c r="G320" s="168"/>
    </row>
    <row r="321" spans="1:7" s="169" customFormat="1">
      <c r="A321" s="31">
        <f>+A320+1</f>
        <v>13</v>
      </c>
      <c r="B321" s="6" t="s">
        <v>297</v>
      </c>
      <c r="C321" s="10" t="s">
        <v>78</v>
      </c>
      <c r="D321" s="104"/>
      <c r="E321" s="104">
        <f>2970000/(36.7*6)/1.1</f>
        <v>12261.580381471387</v>
      </c>
      <c r="F321" s="104"/>
      <c r="G321" s="168"/>
    </row>
    <row r="322" spans="1:7" s="169" customFormat="1">
      <c r="A322" s="31"/>
      <c r="B322" s="8" t="s">
        <v>298</v>
      </c>
      <c r="C322" s="12"/>
      <c r="D322" s="104"/>
      <c r="E322" s="104"/>
      <c r="F322" s="104"/>
      <c r="G322" s="168"/>
    </row>
    <row r="323" spans="1:7" s="169" customFormat="1">
      <c r="A323" s="31">
        <f>+A321+1</f>
        <v>14</v>
      </c>
      <c r="B323" s="6" t="s">
        <v>299</v>
      </c>
      <c r="C323" s="10" t="s">
        <v>119</v>
      </c>
      <c r="D323" s="104"/>
      <c r="E323" s="104">
        <f>68000/1.1</f>
        <v>61818.181818181816</v>
      </c>
      <c r="F323" s="104"/>
      <c r="G323" s="168"/>
    </row>
    <row r="324" spans="1:7" s="169" customFormat="1">
      <c r="A324" s="31">
        <f t="shared" ref="A324:A330" si="10">+A323+1</f>
        <v>15</v>
      </c>
      <c r="B324" s="6" t="s">
        <v>300</v>
      </c>
      <c r="C324" s="10" t="s">
        <v>119</v>
      </c>
      <c r="D324" s="104"/>
      <c r="E324" s="104">
        <f>87000/1.1</f>
        <v>79090.909090909088</v>
      </c>
      <c r="F324" s="104"/>
      <c r="G324" s="168"/>
    </row>
    <row r="325" spans="1:7" s="169" customFormat="1">
      <c r="A325" s="31">
        <f t="shared" si="10"/>
        <v>16</v>
      </c>
      <c r="B325" s="6" t="s">
        <v>301</v>
      </c>
      <c r="C325" s="10" t="s">
        <v>119</v>
      </c>
      <c r="D325" s="104"/>
      <c r="E325" s="104">
        <f>134000/1.1</f>
        <v>121818.18181818181</v>
      </c>
      <c r="F325" s="104"/>
      <c r="G325" s="168"/>
    </row>
    <row r="326" spans="1:7" s="169" customFormat="1">
      <c r="A326" s="31">
        <f t="shared" si="10"/>
        <v>17</v>
      </c>
      <c r="B326" s="6" t="s">
        <v>302</v>
      </c>
      <c r="C326" s="10" t="s">
        <v>119</v>
      </c>
      <c r="D326" s="104"/>
      <c r="E326" s="104">
        <f>155000/1.1</f>
        <v>140909.09090909091</v>
      </c>
      <c r="F326" s="104"/>
      <c r="G326" s="168"/>
    </row>
    <row r="327" spans="1:7" s="169" customFormat="1">
      <c r="A327" s="31">
        <f t="shared" si="10"/>
        <v>18</v>
      </c>
      <c r="B327" s="6" t="s">
        <v>303</v>
      </c>
      <c r="C327" s="10" t="s">
        <v>119</v>
      </c>
      <c r="D327" s="104"/>
      <c r="E327" s="104">
        <f>205000/1.1</f>
        <v>186363.63636363635</v>
      </c>
      <c r="F327" s="104"/>
      <c r="G327" s="168"/>
    </row>
    <row r="328" spans="1:7" s="169" customFormat="1">
      <c r="A328" s="31">
        <f t="shared" si="10"/>
        <v>19</v>
      </c>
      <c r="B328" s="6" t="s">
        <v>304</v>
      </c>
      <c r="C328" s="10" t="s">
        <v>119</v>
      </c>
      <c r="D328" s="104"/>
      <c r="E328" s="104">
        <f>280000/1.1</f>
        <v>254545.45454545453</v>
      </c>
      <c r="F328" s="104"/>
      <c r="G328" s="168"/>
    </row>
    <row r="329" spans="1:7" s="169" customFormat="1">
      <c r="A329" s="31">
        <f t="shared" si="10"/>
        <v>20</v>
      </c>
      <c r="B329" s="6" t="s">
        <v>305</v>
      </c>
      <c r="C329" s="10" t="s">
        <v>119</v>
      </c>
      <c r="D329" s="104"/>
      <c r="E329" s="104">
        <f>414000/1.1</f>
        <v>376363.63636363635</v>
      </c>
      <c r="F329" s="104"/>
      <c r="G329" s="168"/>
    </row>
    <row r="330" spans="1:7" s="169" customFormat="1">
      <c r="A330" s="31">
        <f t="shared" si="10"/>
        <v>21</v>
      </c>
      <c r="B330" s="6" t="s">
        <v>306</v>
      </c>
      <c r="C330" s="10" t="s">
        <v>119</v>
      </c>
      <c r="D330" s="104"/>
      <c r="E330" s="104">
        <f>373000/1.1</f>
        <v>339090.90909090906</v>
      </c>
      <c r="F330" s="104"/>
      <c r="G330" s="168"/>
    </row>
    <row r="331" spans="1:7" s="169" customFormat="1">
      <c r="A331" s="31"/>
      <c r="B331" s="8" t="s">
        <v>307</v>
      </c>
      <c r="C331" s="12"/>
      <c r="D331" s="104"/>
      <c r="E331" s="104"/>
      <c r="F331" s="104"/>
      <c r="G331" s="168"/>
    </row>
    <row r="332" spans="1:7" s="169" customFormat="1">
      <c r="A332" s="31">
        <f>+A330+1</f>
        <v>22</v>
      </c>
      <c r="B332" s="6" t="s">
        <v>308</v>
      </c>
      <c r="C332" s="10" t="s">
        <v>309</v>
      </c>
      <c r="D332" s="126"/>
      <c r="E332" s="104">
        <f>75000/1.1</f>
        <v>68181.818181818177</v>
      </c>
      <c r="F332" s="104"/>
      <c r="G332" s="168"/>
    </row>
    <row r="333" spans="1:7" s="169" customFormat="1">
      <c r="A333" s="31">
        <f t="shared" ref="A333:A340" si="11">+A332+1</f>
        <v>23</v>
      </c>
      <c r="B333" s="6" t="s">
        <v>310</v>
      </c>
      <c r="C333" s="10" t="s">
        <v>309</v>
      </c>
      <c r="D333" s="126"/>
      <c r="E333" s="104">
        <f>108000/1.1</f>
        <v>98181.818181818177</v>
      </c>
      <c r="F333" s="104"/>
      <c r="G333" s="168"/>
    </row>
    <row r="334" spans="1:7" s="169" customFormat="1">
      <c r="A334" s="31">
        <f t="shared" si="11"/>
        <v>24</v>
      </c>
      <c r="B334" s="6" t="s">
        <v>311</v>
      </c>
      <c r="C334" s="10" t="s">
        <v>309</v>
      </c>
      <c r="D334" s="126"/>
      <c r="E334" s="104">
        <f>125000/1.1</f>
        <v>113636.36363636363</v>
      </c>
      <c r="F334" s="104"/>
      <c r="G334" s="168"/>
    </row>
    <row r="335" spans="1:7" s="169" customFormat="1">
      <c r="A335" s="31">
        <f t="shared" si="11"/>
        <v>25</v>
      </c>
      <c r="B335" s="6" t="s">
        <v>312</v>
      </c>
      <c r="C335" s="10" t="s">
        <v>309</v>
      </c>
      <c r="D335" s="126"/>
      <c r="E335" s="104">
        <f>147000/1.1</f>
        <v>133636.36363636362</v>
      </c>
      <c r="F335" s="104"/>
      <c r="G335" s="168"/>
    </row>
    <row r="336" spans="1:7" s="169" customFormat="1">
      <c r="A336" s="31">
        <f t="shared" si="11"/>
        <v>26</v>
      </c>
      <c r="B336" s="6" t="s">
        <v>313</v>
      </c>
      <c r="C336" s="10" t="s">
        <v>309</v>
      </c>
      <c r="D336" s="126"/>
      <c r="E336" s="104">
        <f>195000/1.1</f>
        <v>177272.72727272726</v>
      </c>
      <c r="F336" s="104"/>
      <c r="G336" s="168"/>
    </row>
    <row r="337" spans="1:7" s="169" customFormat="1">
      <c r="A337" s="31">
        <f t="shared" si="11"/>
        <v>27</v>
      </c>
      <c r="B337" s="6" t="s">
        <v>314</v>
      </c>
      <c r="C337" s="10" t="s">
        <v>309</v>
      </c>
      <c r="D337" s="126"/>
      <c r="E337" s="104">
        <f>250000/1.1</f>
        <v>227272.72727272726</v>
      </c>
      <c r="F337" s="104"/>
      <c r="G337" s="168"/>
    </row>
    <row r="338" spans="1:7" s="169" customFormat="1">
      <c r="A338" s="31">
        <f t="shared" si="11"/>
        <v>28</v>
      </c>
      <c r="B338" s="6" t="s">
        <v>315</v>
      </c>
      <c r="C338" s="10" t="s">
        <v>309</v>
      </c>
      <c r="D338" s="126"/>
      <c r="E338" s="104">
        <f>340000/1.1</f>
        <v>309090.90909090906</v>
      </c>
      <c r="F338" s="104"/>
      <c r="G338" s="168"/>
    </row>
    <row r="339" spans="1:7" s="169" customFormat="1">
      <c r="A339" s="31">
        <f t="shared" si="11"/>
        <v>29</v>
      </c>
      <c r="B339" s="6" t="s">
        <v>316</v>
      </c>
      <c r="C339" s="10" t="s">
        <v>309</v>
      </c>
      <c r="D339" s="126"/>
      <c r="E339" s="104">
        <f>410000/1.1</f>
        <v>372727.27272727271</v>
      </c>
      <c r="F339" s="104"/>
      <c r="G339" s="168"/>
    </row>
    <row r="340" spans="1:7" s="169" customFormat="1">
      <c r="A340" s="31">
        <f t="shared" si="11"/>
        <v>30</v>
      </c>
      <c r="B340" s="6" t="s">
        <v>317</v>
      </c>
      <c r="C340" s="10" t="s">
        <v>309</v>
      </c>
      <c r="D340" s="126"/>
      <c r="E340" s="104">
        <f>515000/1.1</f>
        <v>468181.81818181812</v>
      </c>
      <c r="F340" s="104"/>
      <c r="G340" s="168"/>
    </row>
    <row r="341" spans="1:7" s="169" customFormat="1">
      <c r="A341" s="31"/>
      <c r="B341" s="8" t="s">
        <v>318</v>
      </c>
      <c r="C341" s="12"/>
      <c r="D341" s="126"/>
      <c r="E341" s="104"/>
      <c r="F341" s="104"/>
      <c r="G341" s="168"/>
    </row>
    <row r="342" spans="1:7" s="169" customFormat="1">
      <c r="A342" s="31">
        <f>+A340+1</f>
        <v>31</v>
      </c>
      <c r="B342" s="6" t="s">
        <v>319</v>
      </c>
      <c r="C342" s="10" t="s">
        <v>309</v>
      </c>
      <c r="D342" s="126"/>
      <c r="E342" s="104">
        <f>95000/1.1</f>
        <v>86363.636363636353</v>
      </c>
      <c r="F342" s="104"/>
      <c r="G342" s="168"/>
    </row>
    <row r="343" spans="1:7" s="169" customFormat="1">
      <c r="A343" s="31">
        <f t="shared" ref="A343:A349" si="12">+A342+1</f>
        <v>32</v>
      </c>
      <c r="B343" s="6" t="s">
        <v>320</v>
      </c>
      <c r="C343" s="10" t="s">
        <v>309</v>
      </c>
      <c r="D343" s="126"/>
      <c r="E343" s="104">
        <f>145000/1.1</f>
        <v>131818.18181818179</v>
      </c>
      <c r="F343" s="104"/>
      <c r="G343" s="168"/>
    </row>
    <row r="344" spans="1:7" s="169" customFormat="1">
      <c r="A344" s="31">
        <f t="shared" si="12"/>
        <v>33</v>
      </c>
      <c r="B344" s="6" t="s">
        <v>321</v>
      </c>
      <c r="C344" s="10" t="s">
        <v>309</v>
      </c>
      <c r="D344" s="126"/>
      <c r="E344" s="104">
        <f>190000/1.1</f>
        <v>172727.27272727271</v>
      </c>
      <c r="F344" s="104"/>
      <c r="G344" s="168"/>
    </row>
    <row r="345" spans="1:7" s="169" customFormat="1">
      <c r="A345" s="31">
        <f t="shared" si="12"/>
        <v>34</v>
      </c>
      <c r="B345" s="6" t="s">
        <v>322</v>
      </c>
      <c r="C345" s="10" t="s">
        <v>309</v>
      </c>
      <c r="D345" s="126"/>
      <c r="E345" s="104">
        <f>235000/1.1</f>
        <v>213636.36363636362</v>
      </c>
      <c r="F345" s="104"/>
      <c r="G345" s="168"/>
    </row>
    <row r="346" spans="1:7" s="169" customFormat="1">
      <c r="A346" s="31">
        <f t="shared" si="12"/>
        <v>35</v>
      </c>
      <c r="B346" s="6" t="s">
        <v>323</v>
      </c>
      <c r="C346" s="10" t="s">
        <v>309</v>
      </c>
      <c r="D346" s="126"/>
      <c r="E346" s="104">
        <f>325000/1.1</f>
        <v>295454.54545454541</v>
      </c>
      <c r="F346" s="104"/>
      <c r="G346" s="168"/>
    </row>
    <row r="347" spans="1:7" s="169" customFormat="1">
      <c r="A347" s="31">
        <f t="shared" si="12"/>
        <v>36</v>
      </c>
      <c r="B347" s="6" t="s">
        <v>324</v>
      </c>
      <c r="C347" s="10" t="s">
        <v>309</v>
      </c>
      <c r="D347" s="126"/>
      <c r="E347" s="104">
        <f>360000/1.1</f>
        <v>327272.72727272724</v>
      </c>
      <c r="F347" s="104"/>
      <c r="G347" s="168"/>
    </row>
    <row r="348" spans="1:7" s="169" customFormat="1">
      <c r="A348" s="31">
        <f t="shared" si="12"/>
        <v>37</v>
      </c>
      <c r="B348" s="6" t="s">
        <v>325</v>
      </c>
      <c r="C348" s="10" t="s">
        <v>309</v>
      </c>
      <c r="D348" s="126"/>
      <c r="E348" s="104">
        <f>520000/1.1</f>
        <v>472727.27272727271</v>
      </c>
      <c r="F348" s="104"/>
      <c r="G348" s="168"/>
    </row>
    <row r="349" spans="1:7" s="169" customFormat="1">
      <c r="A349" s="32">
        <f t="shared" si="12"/>
        <v>38</v>
      </c>
      <c r="B349" s="7" t="s">
        <v>326</v>
      </c>
      <c r="C349" s="33" t="s">
        <v>309</v>
      </c>
      <c r="D349" s="130"/>
      <c r="E349" s="106">
        <f>542000/1.1</f>
        <v>492727.27272727271</v>
      </c>
      <c r="F349" s="106"/>
      <c r="G349" s="168"/>
    </row>
    <row r="350" spans="1:7" s="169" customFormat="1" ht="30.6" customHeight="1">
      <c r="A350" s="34"/>
      <c r="B350" s="214" t="s">
        <v>327</v>
      </c>
      <c r="C350" s="214"/>
      <c r="D350" s="214"/>
      <c r="E350" s="214"/>
      <c r="F350" s="214"/>
      <c r="G350" s="168"/>
    </row>
    <row r="351" spans="1:7" s="169" customFormat="1">
      <c r="A351" s="31"/>
      <c r="B351" s="8" t="s">
        <v>328</v>
      </c>
      <c r="C351" s="12"/>
      <c r="D351" s="126"/>
      <c r="E351" s="104"/>
      <c r="F351" s="104"/>
      <c r="G351" s="168"/>
    </row>
    <row r="352" spans="1:7" s="169" customFormat="1">
      <c r="A352" s="31">
        <v>1</v>
      </c>
      <c r="B352" s="81" t="s">
        <v>329</v>
      </c>
      <c r="C352" s="10" t="s">
        <v>78</v>
      </c>
      <c r="D352" s="104"/>
      <c r="E352" s="104">
        <f>23700/1.1</f>
        <v>21545.454545454544</v>
      </c>
      <c r="F352" s="104">
        <f>23700/1.1</f>
        <v>21545.454545454544</v>
      </c>
      <c r="G352" s="168"/>
    </row>
    <row r="353" spans="1:7" s="169" customFormat="1">
      <c r="A353" s="31">
        <f>+A352+1</f>
        <v>2</v>
      </c>
      <c r="B353" s="81" t="s">
        <v>330</v>
      </c>
      <c r="C353" s="10" t="s">
        <v>78</v>
      </c>
      <c r="D353" s="104"/>
      <c r="E353" s="104">
        <f>21950/1.1</f>
        <v>19954.545454545452</v>
      </c>
      <c r="F353" s="104">
        <f>21950/1.1</f>
        <v>19954.545454545452</v>
      </c>
      <c r="G353" s="168"/>
    </row>
    <row r="354" spans="1:7" s="169" customFormat="1">
      <c r="A354" s="31">
        <f>+A353+1</f>
        <v>3</v>
      </c>
      <c r="B354" s="81" t="s">
        <v>331</v>
      </c>
      <c r="C354" s="10" t="s">
        <v>78</v>
      </c>
      <c r="D354" s="104"/>
      <c r="E354" s="104">
        <f>21950/1.1</f>
        <v>19954.545454545452</v>
      </c>
      <c r="F354" s="104">
        <f>21950/1.1</f>
        <v>19954.545454545452</v>
      </c>
      <c r="G354" s="168"/>
    </row>
    <row r="355" spans="1:7" s="169" customFormat="1">
      <c r="A355" s="31">
        <f>+A354+1</f>
        <v>4</v>
      </c>
      <c r="B355" s="81" t="s">
        <v>332</v>
      </c>
      <c r="C355" s="10" t="s">
        <v>78</v>
      </c>
      <c r="D355" s="104"/>
      <c r="E355" s="104">
        <f>22780/1.1</f>
        <v>20709.090909090908</v>
      </c>
      <c r="F355" s="104">
        <f>22780/1.1</f>
        <v>20709.090909090908</v>
      </c>
      <c r="G355" s="168"/>
    </row>
    <row r="356" spans="1:7" s="169" customFormat="1">
      <c r="A356" s="31"/>
      <c r="B356" s="8" t="s">
        <v>333</v>
      </c>
      <c r="C356" s="49"/>
      <c r="D356" s="138"/>
      <c r="E356" s="138"/>
      <c r="F356" s="138"/>
      <c r="G356" s="168"/>
    </row>
    <row r="357" spans="1:7" s="169" customFormat="1">
      <c r="A357" s="32">
        <f>+A355+1</f>
        <v>5</v>
      </c>
      <c r="B357" s="82" t="s">
        <v>334</v>
      </c>
      <c r="C357" s="33" t="s">
        <v>78</v>
      </c>
      <c r="D357" s="106"/>
      <c r="E357" s="106">
        <f>12500/1.1</f>
        <v>11363.636363636362</v>
      </c>
      <c r="F357" s="106">
        <f>E357</f>
        <v>11363.636363636362</v>
      </c>
      <c r="G357" s="168"/>
    </row>
    <row r="358" spans="1:7" s="169" customFormat="1" ht="34.5" customHeight="1">
      <c r="A358" s="45"/>
      <c r="B358" s="214" t="s">
        <v>335</v>
      </c>
      <c r="C358" s="214"/>
      <c r="D358" s="214"/>
      <c r="E358" s="214"/>
      <c r="F358" s="214"/>
      <c r="G358" s="168"/>
    </row>
    <row r="359" spans="1:7" s="169" customFormat="1">
      <c r="A359" s="31">
        <v>1</v>
      </c>
      <c r="B359" s="81" t="s">
        <v>336</v>
      </c>
      <c r="C359" s="31" t="s">
        <v>78</v>
      </c>
      <c r="D359" s="104"/>
      <c r="E359" s="104">
        <f>13200000/1000</f>
        <v>13200</v>
      </c>
      <c r="F359" s="104"/>
      <c r="G359" s="168"/>
    </row>
    <row r="360" spans="1:7" s="169" customFormat="1">
      <c r="A360" s="31">
        <f t="shared" ref="A360:A367" si="13">+A359+1</f>
        <v>2</v>
      </c>
      <c r="B360" s="81" t="s">
        <v>337</v>
      </c>
      <c r="C360" s="31" t="s">
        <v>78</v>
      </c>
      <c r="D360" s="104"/>
      <c r="E360" s="104">
        <v>13300</v>
      </c>
      <c r="F360" s="104"/>
      <c r="G360" s="168"/>
    </row>
    <row r="361" spans="1:7" s="169" customFormat="1">
      <c r="A361" s="31">
        <f t="shared" si="13"/>
        <v>3</v>
      </c>
      <c r="B361" s="81" t="s">
        <v>338</v>
      </c>
      <c r="C361" s="31" t="s">
        <v>78</v>
      </c>
      <c r="D361" s="104"/>
      <c r="E361" s="104">
        <f>13200000/1000</f>
        <v>13200</v>
      </c>
      <c r="F361" s="104"/>
      <c r="G361" s="168"/>
    </row>
    <row r="362" spans="1:7" s="169" customFormat="1">
      <c r="A362" s="31">
        <f t="shared" si="13"/>
        <v>4</v>
      </c>
      <c r="B362" s="81" t="s">
        <v>339</v>
      </c>
      <c r="C362" s="31" t="s">
        <v>78</v>
      </c>
      <c r="D362" s="104"/>
      <c r="E362" s="104">
        <f>13500000/1000</f>
        <v>13500</v>
      </c>
      <c r="F362" s="104"/>
      <c r="G362" s="168"/>
    </row>
    <row r="363" spans="1:7" s="169" customFormat="1">
      <c r="A363" s="31">
        <f t="shared" si="13"/>
        <v>5</v>
      </c>
      <c r="B363" s="81" t="s">
        <v>340</v>
      </c>
      <c r="C363" s="31" t="s">
        <v>78</v>
      </c>
      <c r="D363" s="104"/>
      <c r="E363" s="104">
        <f>13800000/1000</f>
        <v>13800</v>
      </c>
      <c r="F363" s="104"/>
      <c r="G363" s="168"/>
    </row>
    <row r="364" spans="1:7" s="169" customFormat="1">
      <c r="A364" s="31">
        <f t="shared" si="13"/>
        <v>6</v>
      </c>
      <c r="B364" s="81" t="s">
        <v>341</v>
      </c>
      <c r="C364" s="31" t="s">
        <v>78</v>
      </c>
      <c r="D364" s="104"/>
      <c r="E364" s="104">
        <f>13600000/1000</f>
        <v>13600</v>
      </c>
      <c r="F364" s="104"/>
      <c r="G364" s="168"/>
    </row>
    <row r="365" spans="1:7" s="169" customFormat="1">
      <c r="A365" s="31">
        <f t="shared" si="13"/>
        <v>7</v>
      </c>
      <c r="B365" s="81" t="s">
        <v>342</v>
      </c>
      <c r="C365" s="31" t="s">
        <v>78</v>
      </c>
      <c r="D365" s="104"/>
      <c r="E365" s="104">
        <f>13500000/1000</f>
        <v>13500</v>
      </c>
      <c r="F365" s="104"/>
      <c r="G365" s="168"/>
    </row>
    <row r="366" spans="1:7" s="169" customFormat="1">
      <c r="A366" s="31">
        <f t="shared" si="13"/>
        <v>8</v>
      </c>
      <c r="B366" s="81" t="s">
        <v>343</v>
      </c>
      <c r="C366" s="31" t="s">
        <v>78</v>
      </c>
      <c r="D366" s="104"/>
      <c r="E366" s="104">
        <f>13800000/1000</f>
        <v>13800</v>
      </c>
      <c r="F366" s="104"/>
      <c r="G366" s="168"/>
    </row>
    <row r="367" spans="1:7" s="169" customFormat="1">
      <c r="A367" s="37">
        <f t="shared" si="13"/>
        <v>9</v>
      </c>
      <c r="B367" s="83" t="s">
        <v>344</v>
      </c>
      <c r="C367" s="39" t="s">
        <v>78</v>
      </c>
      <c r="D367" s="109"/>
      <c r="E367" s="109">
        <f>13700000/1000</f>
        <v>13700</v>
      </c>
      <c r="F367" s="109"/>
      <c r="G367" s="168"/>
    </row>
    <row r="368" spans="1:7" s="169" customFormat="1" ht="32.450000000000003" customHeight="1">
      <c r="A368" s="47"/>
      <c r="B368" s="214" t="s">
        <v>345</v>
      </c>
      <c r="C368" s="214"/>
      <c r="D368" s="214"/>
      <c r="E368" s="214"/>
      <c r="F368" s="214"/>
      <c r="G368" s="168"/>
    </row>
    <row r="369" spans="1:7" s="169" customFormat="1">
      <c r="A369" s="34">
        <v>1</v>
      </c>
      <c r="B369" s="81" t="s">
        <v>346</v>
      </c>
      <c r="C369" s="31" t="s">
        <v>78</v>
      </c>
      <c r="D369" s="104"/>
      <c r="E369" s="104">
        <f>11920000/1000</f>
        <v>11920</v>
      </c>
      <c r="F369" s="104"/>
      <c r="G369" s="168"/>
    </row>
    <row r="370" spans="1:7" s="169" customFormat="1">
      <c r="A370" s="31">
        <f t="shared" ref="A370:A375" si="14">+A369+1</f>
        <v>2</v>
      </c>
      <c r="B370" s="81" t="s">
        <v>347</v>
      </c>
      <c r="C370" s="31" t="s">
        <v>78</v>
      </c>
      <c r="D370" s="104"/>
      <c r="E370" s="104">
        <f>11850000/1000</f>
        <v>11850</v>
      </c>
      <c r="F370" s="104"/>
      <c r="G370" s="168"/>
    </row>
    <row r="371" spans="1:7" s="169" customFormat="1">
      <c r="A371" s="31">
        <f t="shared" si="14"/>
        <v>3</v>
      </c>
      <c r="B371" s="81" t="s">
        <v>348</v>
      </c>
      <c r="C371" s="31" t="s">
        <v>78</v>
      </c>
      <c r="D371" s="104"/>
      <c r="E371" s="104">
        <f>12000000/1000</f>
        <v>12000</v>
      </c>
      <c r="F371" s="104"/>
      <c r="G371" s="168"/>
    </row>
    <row r="372" spans="1:7" s="169" customFormat="1">
      <c r="A372" s="31">
        <f t="shared" si="14"/>
        <v>4</v>
      </c>
      <c r="B372" s="81" t="s">
        <v>349</v>
      </c>
      <c r="C372" s="31" t="s">
        <v>78</v>
      </c>
      <c r="D372" s="104"/>
      <c r="E372" s="104">
        <f>11750000/1000</f>
        <v>11750</v>
      </c>
      <c r="F372" s="104"/>
      <c r="G372" s="168"/>
    </row>
    <row r="373" spans="1:7" s="169" customFormat="1">
      <c r="A373" s="31">
        <f t="shared" si="14"/>
        <v>5</v>
      </c>
      <c r="B373" s="81" t="s">
        <v>350</v>
      </c>
      <c r="C373" s="31" t="s">
        <v>78</v>
      </c>
      <c r="D373" s="104"/>
      <c r="E373" s="104">
        <f>11930000/1000</f>
        <v>11930</v>
      </c>
      <c r="F373" s="104"/>
      <c r="G373" s="168"/>
    </row>
    <row r="374" spans="1:7" s="169" customFormat="1">
      <c r="A374" s="31">
        <f t="shared" si="14"/>
        <v>6</v>
      </c>
      <c r="B374" s="81" t="s">
        <v>351</v>
      </c>
      <c r="C374" s="31" t="s">
        <v>78</v>
      </c>
      <c r="D374" s="104"/>
      <c r="E374" s="104">
        <f>11600000/1000</f>
        <v>11600</v>
      </c>
      <c r="F374" s="104"/>
      <c r="G374" s="168"/>
    </row>
    <row r="375" spans="1:7" s="169" customFormat="1">
      <c r="A375" s="37">
        <f t="shared" si="14"/>
        <v>7</v>
      </c>
      <c r="B375" s="83" t="s">
        <v>352</v>
      </c>
      <c r="C375" s="31" t="s">
        <v>78</v>
      </c>
      <c r="D375" s="109"/>
      <c r="E375" s="104">
        <f>11780000/1000</f>
        <v>11780</v>
      </c>
      <c r="F375" s="109"/>
      <c r="G375" s="168"/>
    </row>
    <row r="376" spans="1:7" s="169" customFormat="1" ht="15.75">
      <c r="A376" s="176" t="s">
        <v>353</v>
      </c>
      <c r="B376" s="213" t="s">
        <v>354</v>
      </c>
      <c r="C376" s="213"/>
      <c r="D376" s="213"/>
      <c r="E376" s="213"/>
      <c r="F376" s="213"/>
      <c r="G376" s="168"/>
    </row>
    <row r="377" spans="1:7" s="169" customFormat="1" ht="23.45" customHeight="1">
      <c r="A377" s="31"/>
      <c r="B377" s="214" t="s">
        <v>355</v>
      </c>
      <c r="C377" s="214"/>
      <c r="D377" s="214"/>
      <c r="E377" s="214"/>
      <c r="F377" s="214"/>
      <c r="G377" s="168"/>
    </row>
    <row r="378" spans="1:7" s="169" customFormat="1" ht="14.45" customHeight="1">
      <c r="A378" s="31"/>
      <c r="B378" s="234" t="s">
        <v>356</v>
      </c>
      <c r="C378" s="234"/>
      <c r="D378" s="234"/>
      <c r="E378" s="234"/>
      <c r="F378" s="234"/>
      <c r="G378" s="168"/>
    </row>
    <row r="379" spans="1:7" s="169" customFormat="1">
      <c r="A379" s="31">
        <v>1</v>
      </c>
      <c r="B379" s="6" t="s">
        <v>357</v>
      </c>
      <c r="C379" s="10" t="s">
        <v>142</v>
      </c>
      <c r="D379" s="104"/>
      <c r="E379" s="104">
        <v>22260</v>
      </c>
      <c r="F379" s="104"/>
      <c r="G379" s="168"/>
    </row>
    <row r="380" spans="1:7" s="169" customFormat="1">
      <c r="A380" s="31">
        <v>2</v>
      </c>
      <c r="B380" s="6" t="s">
        <v>358</v>
      </c>
      <c r="C380" s="10" t="s">
        <v>142</v>
      </c>
      <c r="D380" s="104"/>
      <c r="E380" s="104">
        <v>27825</v>
      </c>
      <c r="F380" s="104"/>
      <c r="G380" s="168"/>
    </row>
    <row r="381" spans="1:7" s="169" customFormat="1">
      <c r="A381" s="31">
        <f t="shared" ref="A381:A386" si="15">+A380+1</f>
        <v>3</v>
      </c>
      <c r="B381" s="6" t="s">
        <v>359</v>
      </c>
      <c r="C381" s="10" t="s">
        <v>142</v>
      </c>
      <c r="D381" s="104"/>
      <c r="E381" s="104">
        <v>32865</v>
      </c>
      <c r="F381" s="104"/>
      <c r="G381" s="168"/>
    </row>
    <row r="382" spans="1:7" s="169" customFormat="1">
      <c r="A382" s="31">
        <f t="shared" si="15"/>
        <v>4</v>
      </c>
      <c r="B382" s="6" t="s">
        <v>360</v>
      </c>
      <c r="C382" s="10" t="s">
        <v>142</v>
      </c>
      <c r="D382" s="104"/>
      <c r="E382" s="104">
        <v>51135</v>
      </c>
      <c r="F382" s="104"/>
      <c r="G382" s="168"/>
    </row>
    <row r="383" spans="1:7" s="169" customFormat="1">
      <c r="A383" s="31">
        <f t="shared" si="15"/>
        <v>5</v>
      </c>
      <c r="B383" s="6" t="s">
        <v>361</v>
      </c>
      <c r="C383" s="10" t="s">
        <v>142</v>
      </c>
      <c r="D383" s="104"/>
      <c r="E383" s="104">
        <v>62790</v>
      </c>
      <c r="F383" s="104"/>
      <c r="G383" s="168"/>
    </row>
    <row r="384" spans="1:7" s="169" customFormat="1">
      <c r="A384" s="31">
        <f t="shared" si="15"/>
        <v>6</v>
      </c>
      <c r="B384" s="6" t="s">
        <v>362</v>
      </c>
      <c r="C384" s="10" t="s">
        <v>142</v>
      </c>
      <c r="D384" s="104"/>
      <c r="E384" s="104">
        <v>72870</v>
      </c>
      <c r="F384" s="104"/>
      <c r="G384" s="168"/>
    </row>
    <row r="385" spans="1:7" s="169" customFormat="1">
      <c r="A385" s="31">
        <f t="shared" si="15"/>
        <v>7</v>
      </c>
      <c r="B385" s="6" t="s">
        <v>363</v>
      </c>
      <c r="C385" s="10" t="s">
        <v>142</v>
      </c>
      <c r="D385" s="104"/>
      <c r="E385" s="104">
        <v>82215</v>
      </c>
      <c r="F385" s="104"/>
      <c r="G385" s="168"/>
    </row>
    <row r="386" spans="1:7" s="169" customFormat="1">
      <c r="A386" s="31">
        <f t="shared" si="15"/>
        <v>8</v>
      </c>
      <c r="B386" s="6" t="s">
        <v>364</v>
      </c>
      <c r="C386" s="10" t="s">
        <v>142</v>
      </c>
      <c r="D386" s="104"/>
      <c r="E386" s="104">
        <v>95445</v>
      </c>
      <c r="F386" s="104"/>
      <c r="G386" s="168"/>
    </row>
    <row r="387" spans="1:7" s="169" customFormat="1" ht="27">
      <c r="A387" s="31"/>
      <c r="B387" s="8" t="s">
        <v>365</v>
      </c>
      <c r="C387" s="12"/>
      <c r="D387" s="104"/>
      <c r="E387" s="104"/>
      <c r="F387" s="104"/>
      <c r="G387" s="168"/>
    </row>
    <row r="388" spans="1:7" s="169" customFormat="1">
      <c r="A388" s="31">
        <f>+A386+1</f>
        <v>9</v>
      </c>
      <c r="B388" s="6" t="s">
        <v>366</v>
      </c>
      <c r="C388" s="10" t="s">
        <v>142</v>
      </c>
      <c r="D388" s="104"/>
      <c r="E388" s="104">
        <v>37905</v>
      </c>
      <c r="F388" s="104"/>
      <c r="G388" s="168"/>
    </row>
    <row r="389" spans="1:7" s="169" customFormat="1">
      <c r="A389" s="31">
        <f>+A388+1</f>
        <v>10</v>
      </c>
      <c r="B389" s="6" t="s">
        <v>367</v>
      </c>
      <c r="C389" s="10" t="s">
        <v>142</v>
      </c>
      <c r="D389" s="104"/>
      <c r="E389" s="104">
        <v>46830</v>
      </c>
      <c r="F389" s="104"/>
      <c r="G389" s="168"/>
    </row>
    <row r="390" spans="1:7" s="169" customFormat="1">
      <c r="A390" s="31">
        <f>+A389+1</f>
        <v>11</v>
      </c>
      <c r="B390" s="6" t="s">
        <v>368</v>
      </c>
      <c r="C390" s="10" t="s">
        <v>142</v>
      </c>
      <c r="D390" s="104"/>
      <c r="E390" s="104">
        <v>73920</v>
      </c>
      <c r="F390" s="104"/>
      <c r="G390" s="168"/>
    </row>
    <row r="391" spans="1:7" s="169" customFormat="1">
      <c r="A391" s="31">
        <f>+A390+1</f>
        <v>12</v>
      </c>
      <c r="B391" s="6" t="s">
        <v>369</v>
      </c>
      <c r="C391" s="10" t="s">
        <v>142</v>
      </c>
      <c r="D391" s="104"/>
      <c r="E391" s="104">
        <v>85890</v>
      </c>
      <c r="F391" s="104"/>
      <c r="G391" s="168"/>
    </row>
    <row r="392" spans="1:7" s="169" customFormat="1">
      <c r="A392" s="31"/>
      <c r="B392" s="8" t="s">
        <v>370</v>
      </c>
      <c r="C392" s="12"/>
      <c r="D392" s="104"/>
      <c r="E392" s="104"/>
      <c r="F392" s="104"/>
      <c r="G392" s="168"/>
    </row>
    <row r="393" spans="1:7" s="169" customFormat="1">
      <c r="A393" s="31">
        <f>+A391+1</f>
        <v>13</v>
      </c>
      <c r="B393" s="6" t="s">
        <v>371</v>
      </c>
      <c r="C393" s="10" t="s">
        <v>372</v>
      </c>
      <c r="D393" s="104"/>
      <c r="E393" s="104">
        <v>1365</v>
      </c>
      <c r="F393" s="104"/>
      <c r="G393" s="168"/>
    </row>
    <row r="394" spans="1:7" s="169" customFormat="1">
      <c r="A394" s="31">
        <f t="shared" ref="A394:A402" si="16">+A393+1</f>
        <v>14</v>
      </c>
      <c r="B394" s="6" t="s">
        <v>373</v>
      </c>
      <c r="C394" s="10" t="s">
        <v>372</v>
      </c>
      <c r="D394" s="104"/>
      <c r="E394" s="104">
        <v>2730</v>
      </c>
      <c r="F394" s="104"/>
      <c r="G394" s="168"/>
    </row>
    <row r="395" spans="1:7" s="169" customFormat="1">
      <c r="A395" s="31">
        <f t="shared" si="16"/>
        <v>15</v>
      </c>
      <c r="B395" s="6" t="s">
        <v>374</v>
      </c>
      <c r="C395" s="10" t="s">
        <v>372</v>
      </c>
      <c r="D395" s="104"/>
      <c r="E395" s="104">
        <v>16674</v>
      </c>
      <c r="F395" s="104"/>
      <c r="G395" s="168"/>
    </row>
    <row r="396" spans="1:7" s="169" customFormat="1">
      <c r="A396" s="31">
        <f t="shared" si="16"/>
        <v>16</v>
      </c>
      <c r="B396" s="6" t="s">
        <v>375</v>
      </c>
      <c r="C396" s="10" t="s">
        <v>135</v>
      </c>
      <c r="D396" s="104"/>
      <c r="E396" s="104">
        <v>8085</v>
      </c>
      <c r="F396" s="104"/>
      <c r="G396" s="168"/>
    </row>
    <row r="397" spans="1:7" s="169" customFormat="1">
      <c r="A397" s="31">
        <f t="shared" si="16"/>
        <v>17</v>
      </c>
      <c r="B397" s="6" t="s">
        <v>376</v>
      </c>
      <c r="C397" s="10" t="s">
        <v>135</v>
      </c>
      <c r="D397" s="104"/>
      <c r="E397" s="104">
        <v>13230</v>
      </c>
      <c r="F397" s="104"/>
      <c r="G397" s="168"/>
    </row>
    <row r="398" spans="1:7" s="169" customFormat="1" ht="27">
      <c r="A398" s="31">
        <f t="shared" si="16"/>
        <v>18</v>
      </c>
      <c r="B398" s="6" t="s">
        <v>377</v>
      </c>
      <c r="C398" s="10" t="s">
        <v>142</v>
      </c>
      <c r="D398" s="104"/>
      <c r="E398" s="104">
        <f>383040/6</f>
        <v>63840</v>
      </c>
      <c r="F398" s="131"/>
      <c r="G398" s="168"/>
    </row>
    <row r="399" spans="1:7" s="169" customFormat="1" ht="27">
      <c r="A399" s="31">
        <f t="shared" si="16"/>
        <v>19</v>
      </c>
      <c r="B399" s="6" t="s">
        <v>378</v>
      </c>
      <c r="C399" s="10" t="s">
        <v>142</v>
      </c>
      <c r="D399" s="104"/>
      <c r="E399" s="104">
        <f>261450/6</f>
        <v>43575</v>
      </c>
      <c r="F399" s="104"/>
      <c r="G399" s="168"/>
    </row>
    <row r="400" spans="1:7" s="169" customFormat="1">
      <c r="A400" s="31">
        <f t="shared" si="16"/>
        <v>20</v>
      </c>
      <c r="B400" s="6" t="s">
        <v>379</v>
      </c>
      <c r="C400" s="10" t="s">
        <v>142</v>
      </c>
      <c r="D400" s="104"/>
      <c r="E400" s="104">
        <f>484470/6</f>
        <v>80745</v>
      </c>
      <c r="F400" s="104"/>
      <c r="G400" s="168"/>
    </row>
    <row r="401" spans="1:7" s="169" customFormat="1">
      <c r="A401" s="31">
        <f t="shared" si="16"/>
        <v>21</v>
      </c>
      <c r="B401" s="6" t="s">
        <v>380</v>
      </c>
      <c r="C401" s="10" t="s">
        <v>142</v>
      </c>
      <c r="D401" s="104"/>
      <c r="E401" s="104">
        <f>382410/6</f>
        <v>63735</v>
      </c>
      <c r="F401" s="104"/>
      <c r="G401" s="168"/>
    </row>
    <row r="402" spans="1:7" s="169" customFormat="1">
      <c r="A402" s="31">
        <f t="shared" si="16"/>
        <v>22</v>
      </c>
      <c r="B402" s="6" t="s">
        <v>381</v>
      </c>
      <c r="C402" s="10" t="s">
        <v>142</v>
      </c>
      <c r="D402" s="104"/>
      <c r="E402" s="104">
        <f>1081500/50</f>
        <v>21630</v>
      </c>
      <c r="F402" s="104"/>
      <c r="G402" s="168"/>
    </row>
    <row r="403" spans="1:7" s="169" customFormat="1" ht="21.6" customHeight="1">
      <c r="A403" s="31"/>
      <c r="B403" s="234" t="s">
        <v>382</v>
      </c>
      <c r="C403" s="234"/>
      <c r="D403" s="234"/>
      <c r="E403" s="234"/>
      <c r="F403" s="234"/>
      <c r="G403" s="168"/>
    </row>
    <row r="404" spans="1:7" s="169" customFormat="1">
      <c r="A404" s="31">
        <f>+A402+1</f>
        <v>23</v>
      </c>
      <c r="B404" s="6" t="s">
        <v>383</v>
      </c>
      <c r="C404" s="10" t="s">
        <v>142</v>
      </c>
      <c r="D404" s="104"/>
      <c r="E404" s="104">
        <v>82110</v>
      </c>
      <c r="F404" s="104"/>
      <c r="G404" s="168"/>
    </row>
    <row r="405" spans="1:7" s="169" customFormat="1">
      <c r="A405" s="31">
        <f t="shared" ref="A405:A418" si="17">+A404+1</f>
        <v>24</v>
      </c>
      <c r="B405" s="6" t="s">
        <v>384</v>
      </c>
      <c r="C405" s="10" t="s">
        <v>142</v>
      </c>
      <c r="D405" s="104"/>
      <c r="E405" s="104">
        <v>101325</v>
      </c>
      <c r="F405" s="104"/>
      <c r="G405" s="168"/>
    </row>
    <row r="406" spans="1:7" s="169" customFormat="1">
      <c r="A406" s="31">
        <f t="shared" si="17"/>
        <v>25</v>
      </c>
      <c r="B406" s="6" t="s">
        <v>385</v>
      </c>
      <c r="C406" s="10" t="s">
        <v>142</v>
      </c>
      <c r="D406" s="104"/>
      <c r="E406" s="104">
        <v>123690</v>
      </c>
      <c r="F406" s="104"/>
      <c r="G406" s="168"/>
    </row>
    <row r="407" spans="1:7" s="169" customFormat="1">
      <c r="A407" s="31">
        <f t="shared" si="17"/>
        <v>26</v>
      </c>
      <c r="B407" s="6" t="s">
        <v>386</v>
      </c>
      <c r="C407" s="10" t="s">
        <v>142</v>
      </c>
      <c r="D407" s="104"/>
      <c r="E407" s="104">
        <v>110670</v>
      </c>
      <c r="F407" s="104"/>
      <c r="G407" s="168"/>
    </row>
    <row r="408" spans="1:7" s="169" customFormat="1">
      <c r="A408" s="31">
        <f t="shared" si="17"/>
        <v>27</v>
      </c>
      <c r="B408" s="6" t="s">
        <v>387</v>
      </c>
      <c r="C408" s="10" t="s">
        <v>142</v>
      </c>
      <c r="D408" s="104"/>
      <c r="E408" s="104">
        <v>137025</v>
      </c>
      <c r="F408" s="104"/>
      <c r="G408" s="168"/>
    </row>
    <row r="409" spans="1:7" s="169" customFormat="1">
      <c r="A409" s="31">
        <f t="shared" si="17"/>
        <v>28</v>
      </c>
      <c r="B409" s="6" t="s">
        <v>388</v>
      </c>
      <c r="C409" s="10" t="s">
        <v>142</v>
      </c>
      <c r="D409" s="104"/>
      <c r="E409" s="104">
        <v>167685</v>
      </c>
      <c r="F409" s="104"/>
      <c r="G409" s="168"/>
    </row>
    <row r="410" spans="1:7" s="169" customFormat="1">
      <c r="A410" s="31">
        <f t="shared" si="17"/>
        <v>29</v>
      </c>
      <c r="B410" s="6" t="s">
        <v>389</v>
      </c>
      <c r="C410" s="10" t="s">
        <v>142</v>
      </c>
      <c r="D410" s="104"/>
      <c r="E410" s="104">
        <v>172620</v>
      </c>
      <c r="F410" s="104"/>
      <c r="G410" s="168"/>
    </row>
    <row r="411" spans="1:7" s="169" customFormat="1">
      <c r="A411" s="31">
        <f t="shared" si="17"/>
        <v>30</v>
      </c>
      <c r="B411" s="6" t="s">
        <v>390</v>
      </c>
      <c r="C411" s="10" t="s">
        <v>142</v>
      </c>
      <c r="D411" s="104"/>
      <c r="E411" s="104">
        <v>211785</v>
      </c>
      <c r="F411" s="104"/>
      <c r="G411" s="168"/>
    </row>
    <row r="412" spans="1:7" s="169" customFormat="1">
      <c r="A412" s="31">
        <f t="shared" si="17"/>
        <v>31</v>
      </c>
      <c r="B412" s="6" t="s">
        <v>391</v>
      </c>
      <c r="C412" s="10" t="s">
        <v>142</v>
      </c>
      <c r="D412" s="104"/>
      <c r="E412" s="104">
        <v>262080</v>
      </c>
      <c r="F412" s="104"/>
      <c r="G412" s="168"/>
    </row>
    <row r="413" spans="1:7" s="169" customFormat="1">
      <c r="A413" s="31">
        <f t="shared" si="17"/>
        <v>32</v>
      </c>
      <c r="B413" s="6" t="s">
        <v>392</v>
      </c>
      <c r="C413" s="10" t="s">
        <v>142</v>
      </c>
      <c r="D413" s="104"/>
      <c r="E413" s="104">
        <v>239395</v>
      </c>
      <c r="F413" s="104"/>
      <c r="G413" s="168"/>
    </row>
    <row r="414" spans="1:7" s="169" customFormat="1">
      <c r="A414" s="31">
        <f t="shared" si="17"/>
        <v>33</v>
      </c>
      <c r="B414" s="6" t="s">
        <v>393</v>
      </c>
      <c r="C414" s="10" t="s">
        <v>142</v>
      </c>
      <c r="D414" s="104"/>
      <c r="E414" s="104">
        <v>296415</v>
      </c>
      <c r="F414" s="104"/>
      <c r="G414" s="168"/>
    </row>
    <row r="415" spans="1:7" s="169" customFormat="1">
      <c r="A415" s="31">
        <f t="shared" si="17"/>
        <v>34</v>
      </c>
      <c r="B415" s="6" t="s">
        <v>394</v>
      </c>
      <c r="C415" s="10" t="s">
        <v>142</v>
      </c>
      <c r="D415" s="104"/>
      <c r="E415" s="104">
        <v>413280</v>
      </c>
      <c r="F415" s="104"/>
      <c r="G415" s="168"/>
    </row>
    <row r="416" spans="1:7" s="169" customFormat="1">
      <c r="A416" s="31">
        <f t="shared" si="17"/>
        <v>35</v>
      </c>
      <c r="B416" s="6" t="s">
        <v>395</v>
      </c>
      <c r="C416" s="10" t="s">
        <v>142</v>
      </c>
      <c r="D416" s="104"/>
      <c r="E416" s="104">
        <v>546735</v>
      </c>
      <c r="F416" s="104"/>
      <c r="G416" s="168"/>
    </row>
    <row r="417" spans="1:7" s="169" customFormat="1">
      <c r="A417" s="31">
        <f t="shared" si="17"/>
        <v>36</v>
      </c>
      <c r="B417" s="6" t="s">
        <v>396</v>
      </c>
      <c r="C417" s="10" t="s">
        <v>142</v>
      </c>
      <c r="D417" s="104"/>
      <c r="E417" s="104">
        <v>51135</v>
      </c>
      <c r="F417" s="104"/>
      <c r="G417" s="168"/>
    </row>
    <row r="418" spans="1:7" s="169" customFormat="1">
      <c r="A418" s="39">
        <f t="shared" si="17"/>
        <v>37</v>
      </c>
      <c r="B418" s="78" t="s">
        <v>397</v>
      </c>
      <c r="C418" s="38" t="s">
        <v>398</v>
      </c>
      <c r="D418" s="109"/>
      <c r="E418" s="121">
        <v>3759</v>
      </c>
      <c r="F418" s="109"/>
      <c r="G418" s="168"/>
    </row>
    <row r="419" spans="1:7" s="169" customFormat="1" ht="15.75">
      <c r="A419" s="176" t="s">
        <v>399</v>
      </c>
      <c r="B419" s="214" t="s">
        <v>400</v>
      </c>
      <c r="C419" s="214"/>
      <c r="D419" s="214"/>
      <c r="E419" s="214"/>
      <c r="F419" s="214"/>
      <c r="G419" s="168"/>
    </row>
    <row r="420" spans="1:7" s="169" customFormat="1" ht="21" customHeight="1">
      <c r="A420" s="30"/>
      <c r="B420" s="214" t="s">
        <v>401</v>
      </c>
      <c r="C420" s="214"/>
      <c r="D420" s="214"/>
      <c r="E420" s="214"/>
      <c r="F420" s="214"/>
      <c r="G420" s="168"/>
    </row>
    <row r="421" spans="1:7" s="169" customFormat="1">
      <c r="A421" s="31"/>
      <c r="B421" s="8" t="s">
        <v>402</v>
      </c>
      <c r="C421" s="49"/>
      <c r="D421" s="138"/>
      <c r="E421" s="138"/>
      <c r="F421" s="138"/>
      <c r="G421" s="168"/>
    </row>
    <row r="422" spans="1:7" s="169" customFormat="1" ht="16.5">
      <c r="A422" s="31">
        <v>1</v>
      </c>
      <c r="B422" s="6" t="s">
        <v>403</v>
      </c>
      <c r="C422" s="10" t="s">
        <v>404</v>
      </c>
      <c r="D422" s="104"/>
      <c r="E422" s="104">
        <v>211995</v>
      </c>
      <c r="F422" s="104"/>
      <c r="G422" s="168"/>
    </row>
    <row r="423" spans="1:7" s="169" customFormat="1" ht="16.5">
      <c r="A423" s="31">
        <f>+A422+1</f>
        <v>2</v>
      </c>
      <c r="B423" s="6" t="s">
        <v>405</v>
      </c>
      <c r="C423" s="10" t="s">
        <v>404</v>
      </c>
      <c r="D423" s="104"/>
      <c r="E423" s="104">
        <v>256620</v>
      </c>
      <c r="F423" s="104"/>
      <c r="G423" s="168"/>
    </row>
    <row r="424" spans="1:7" s="169" customFormat="1" ht="16.5">
      <c r="A424" s="31">
        <f>+A423+1</f>
        <v>3</v>
      </c>
      <c r="B424" s="6" t="s">
        <v>406</v>
      </c>
      <c r="C424" s="10" t="s">
        <v>404</v>
      </c>
      <c r="D424" s="104"/>
      <c r="E424" s="104">
        <v>277935</v>
      </c>
      <c r="F424" s="104"/>
      <c r="G424" s="168"/>
    </row>
    <row r="425" spans="1:7" s="169" customFormat="1">
      <c r="A425" s="31"/>
      <c r="B425" s="8" t="s">
        <v>407</v>
      </c>
      <c r="C425" s="49"/>
      <c r="D425" s="138"/>
      <c r="E425" s="138"/>
      <c r="F425" s="138"/>
      <c r="G425" s="168"/>
    </row>
    <row r="426" spans="1:7" s="169" customFormat="1" ht="27">
      <c r="A426" s="31">
        <f>+A424+1</f>
        <v>4</v>
      </c>
      <c r="B426" s="6" t="s">
        <v>408</v>
      </c>
      <c r="C426" s="10" t="s">
        <v>404</v>
      </c>
      <c r="D426" s="104"/>
      <c r="E426" s="104">
        <v>277620</v>
      </c>
      <c r="F426" s="104"/>
      <c r="G426" s="168"/>
    </row>
    <row r="427" spans="1:7" s="169" customFormat="1" ht="27">
      <c r="A427" s="31">
        <f>+A426+1</f>
        <v>5</v>
      </c>
      <c r="B427" s="6" t="s">
        <v>409</v>
      </c>
      <c r="C427" s="10" t="s">
        <v>404</v>
      </c>
      <c r="D427" s="104"/>
      <c r="E427" s="104">
        <v>337365</v>
      </c>
      <c r="F427" s="104"/>
      <c r="G427" s="168"/>
    </row>
    <row r="428" spans="1:7" s="169" customFormat="1" ht="15.75">
      <c r="A428" s="31"/>
      <c r="B428" s="8" t="s">
        <v>410</v>
      </c>
      <c r="C428" s="12"/>
      <c r="D428" s="104"/>
      <c r="E428" s="104"/>
      <c r="F428" s="104"/>
      <c r="G428" s="168"/>
    </row>
    <row r="429" spans="1:7" s="169" customFormat="1">
      <c r="A429" s="31">
        <f>+A427+1</f>
        <v>6</v>
      </c>
      <c r="B429" s="6" t="s">
        <v>411</v>
      </c>
      <c r="C429" s="10" t="s">
        <v>135</v>
      </c>
      <c r="D429" s="104"/>
      <c r="E429" s="104">
        <v>11865</v>
      </c>
      <c r="F429" s="104"/>
      <c r="G429" s="168"/>
    </row>
    <row r="430" spans="1:7" s="169" customFormat="1">
      <c r="A430" s="32">
        <f>+A429+1</f>
        <v>7</v>
      </c>
      <c r="B430" s="7" t="s">
        <v>412</v>
      </c>
      <c r="C430" s="33" t="s">
        <v>135</v>
      </c>
      <c r="D430" s="106"/>
      <c r="E430" s="106">
        <v>956</v>
      </c>
      <c r="F430" s="106"/>
      <c r="G430" s="168"/>
    </row>
    <row r="431" spans="1:7" s="169" customFormat="1" ht="35.450000000000003" customHeight="1">
      <c r="A431" s="45"/>
      <c r="B431" s="214" t="s">
        <v>413</v>
      </c>
      <c r="C431" s="214"/>
      <c r="D431" s="214"/>
      <c r="E431" s="214"/>
      <c r="F431" s="214"/>
      <c r="G431" s="168"/>
    </row>
    <row r="432" spans="1:7" s="169" customFormat="1">
      <c r="A432" s="31">
        <v>1</v>
      </c>
      <c r="B432" s="6" t="s">
        <v>414</v>
      </c>
      <c r="C432" s="10" t="s">
        <v>78</v>
      </c>
      <c r="D432" s="104">
        <f>20900/1.1</f>
        <v>19000</v>
      </c>
      <c r="E432" s="104"/>
      <c r="F432" s="104"/>
      <c r="G432" s="168"/>
    </row>
    <row r="433" spans="1:7" s="169" customFormat="1">
      <c r="A433" s="31">
        <f>+A432+1</f>
        <v>2</v>
      </c>
      <c r="B433" s="6" t="s">
        <v>415</v>
      </c>
      <c r="C433" s="10" t="s">
        <v>78</v>
      </c>
      <c r="D433" s="104">
        <f>20700/1.1</f>
        <v>18818.181818181816</v>
      </c>
      <c r="E433" s="104"/>
      <c r="F433" s="104"/>
      <c r="G433" s="168"/>
    </row>
    <row r="434" spans="1:7" s="169" customFormat="1">
      <c r="A434" s="31">
        <f t="shared" ref="A434:A439" si="18">+A433+1</f>
        <v>3</v>
      </c>
      <c r="B434" s="6" t="s">
        <v>416</v>
      </c>
      <c r="C434" s="10" t="s">
        <v>78</v>
      </c>
      <c r="D434" s="104">
        <f>20700/1.1</f>
        <v>18818.181818181816</v>
      </c>
      <c r="E434" s="104"/>
      <c r="F434" s="104"/>
      <c r="G434" s="168"/>
    </row>
    <row r="435" spans="1:7" s="169" customFormat="1">
      <c r="A435" s="31">
        <f t="shared" si="18"/>
        <v>4</v>
      </c>
      <c r="B435" s="6" t="s">
        <v>417</v>
      </c>
      <c r="C435" s="10" t="s">
        <v>78</v>
      </c>
      <c r="D435" s="104">
        <f>20700/1.1</f>
        <v>18818.181818181816</v>
      </c>
      <c r="E435" s="104"/>
      <c r="F435" s="104"/>
      <c r="G435" s="168"/>
    </row>
    <row r="436" spans="1:7" s="169" customFormat="1">
      <c r="A436" s="31">
        <f t="shared" si="18"/>
        <v>5</v>
      </c>
      <c r="B436" s="6" t="s">
        <v>418</v>
      </c>
      <c r="C436" s="10" t="s">
        <v>78</v>
      </c>
      <c r="D436" s="104">
        <f>22900/1.1</f>
        <v>20818.181818181816</v>
      </c>
      <c r="E436" s="104"/>
      <c r="F436" s="104"/>
      <c r="G436" s="168"/>
    </row>
    <row r="437" spans="1:7" s="169" customFormat="1">
      <c r="A437" s="31">
        <f t="shared" si="18"/>
        <v>6</v>
      </c>
      <c r="B437" s="6" t="s">
        <v>419</v>
      </c>
      <c r="C437" s="10" t="s">
        <v>78</v>
      </c>
      <c r="D437" s="104">
        <f>22500/1.1</f>
        <v>20454.545454545452</v>
      </c>
      <c r="E437" s="104"/>
      <c r="F437" s="104"/>
      <c r="G437" s="168"/>
    </row>
    <row r="438" spans="1:7" s="169" customFormat="1">
      <c r="A438" s="31">
        <f t="shared" si="18"/>
        <v>7</v>
      </c>
      <c r="B438" s="6" t="s">
        <v>420</v>
      </c>
      <c r="C438" s="10" t="s">
        <v>78</v>
      </c>
      <c r="D438" s="104">
        <f>22200/1.1</f>
        <v>20181.81818181818</v>
      </c>
      <c r="E438" s="104"/>
      <c r="F438" s="104"/>
      <c r="G438" s="168"/>
    </row>
    <row r="439" spans="1:7" s="169" customFormat="1">
      <c r="A439" s="37">
        <f t="shared" si="18"/>
        <v>8</v>
      </c>
      <c r="B439" s="80" t="s">
        <v>421</v>
      </c>
      <c r="C439" s="46" t="s">
        <v>78</v>
      </c>
      <c r="D439" s="121">
        <f>21700/1.1</f>
        <v>19727.272727272724</v>
      </c>
      <c r="E439" s="121"/>
      <c r="F439" s="121"/>
      <c r="G439" s="168"/>
    </row>
    <row r="440" spans="1:7" s="169" customFormat="1" ht="15.75">
      <c r="A440" s="176" t="s">
        <v>422</v>
      </c>
      <c r="B440" s="214" t="s">
        <v>423</v>
      </c>
      <c r="C440" s="214"/>
      <c r="D440" s="214"/>
      <c r="E440" s="214"/>
      <c r="F440" s="214"/>
      <c r="G440" s="168"/>
    </row>
    <row r="441" spans="1:7" s="169" customFormat="1" ht="32.450000000000003" customHeight="1">
      <c r="A441" s="31"/>
      <c r="B441" s="214" t="s">
        <v>424</v>
      </c>
      <c r="C441" s="214"/>
      <c r="D441" s="214"/>
      <c r="E441" s="214"/>
      <c r="F441" s="214"/>
      <c r="G441" s="168"/>
    </row>
    <row r="442" spans="1:7" s="169" customFormat="1" ht="16.5">
      <c r="A442" s="31">
        <v>1</v>
      </c>
      <c r="B442" s="6" t="s">
        <v>425</v>
      </c>
      <c r="C442" s="10" t="s">
        <v>404</v>
      </c>
      <c r="D442" s="126"/>
      <c r="E442" s="104">
        <v>495000</v>
      </c>
      <c r="F442" s="104"/>
      <c r="G442" s="168"/>
    </row>
    <row r="443" spans="1:7" s="169" customFormat="1">
      <c r="A443" s="31"/>
      <c r="B443" s="22" t="s">
        <v>426</v>
      </c>
      <c r="C443" s="48"/>
      <c r="D443" s="123"/>
      <c r="E443" s="123"/>
      <c r="F443" s="104"/>
      <c r="G443" s="168"/>
    </row>
    <row r="444" spans="1:7" s="169" customFormat="1" ht="16.5">
      <c r="A444" s="31">
        <f>+A442+1</f>
        <v>2</v>
      </c>
      <c r="B444" s="6" t="s">
        <v>427</v>
      </c>
      <c r="C444" s="10" t="s">
        <v>404</v>
      </c>
      <c r="D444" s="126"/>
      <c r="E444" s="104">
        <v>352000</v>
      </c>
      <c r="F444" s="104"/>
      <c r="G444" s="168"/>
    </row>
    <row r="445" spans="1:7" s="169" customFormat="1">
      <c r="A445" s="31"/>
      <c r="B445" s="22" t="s">
        <v>428</v>
      </c>
      <c r="C445" s="48"/>
      <c r="D445" s="123"/>
      <c r="E445" s="123"/>
      <c r="F445" s="104"/>
      <c r="G445" s="168"/>
    </row>
    <row r="446" spans="1:7" s="169" customFormat="1" ht="16.5">
      <c r="A446" s="31">
        <f>+A444+1</f>
        <v>3</v>
      </c>
      <c r="B446" s="6" t="s">
        <v>429</v>
      </c>
      <c r="C446" s="10" t="s">
        <v>404</v>
      </c>
      <c r="D446" s="126"/>
      <c r="E446" s="104">
        <v>407000</v>
      </c>
      <c r="F446" s="104"/>
      <c r="G446" s="168"/>
    </row>
    <row r="447" spans="1:7" s="169" customFormat="1" ht="27">
      <c r="A447" s="31">
        <f>+A446+1</f>
        <v>4</v>
      </c>
      <c r="B447" s="6" t="s">
        <v>430</v>
      </c>
      <c r="C447" s="10" t="s">
        <v>404</v>
      </c>
      <c r="D447" s="104"/>
      <c r="E447" s="104">
        <v>336630</v>
      </c>
      <c r="F447" s="104"/>
      <c r="G447" s="168"/>
    </row>
    <row r="448" spans="1:7" s="169" customFormat="1">
      <c r="A448" s="31">
        <f>+A447+1</f>
        <v>5</v>
      </c>
      <c r="B448" s="22" t="s">
        <v>431</v>
      </c>
      <c r="C448" s="12" t="s">
        <v>142</v>
      </c>
      <c r="D448" s="104"/>
      <c r="E448" s="104">
        <f>96495/3</f>
        <v>32165</v>
      </c>
      <c r="F448" s="104"/>
      <c r="G448" s="168"/>
    </row>
    <row r="449" spans="1:7" s="169" customFormat="1">
      <c r="A449" s="31">
        <f>+A448+1</f>
        <v>6</v>
      </c>
      <c r="B449" s="22" t="s">
        <v>432</v>
      </c>
      <c r="C449" s="12" t="s">
        <v>142</v>
      </c>
      <c r="D449" s="104"/>
      <c r="E449" s="104">
        <f>17430/3</f>
        <v>5810</v>
      </c>
      <c r="F449" s="104"/>
      <c r="G449" s="168"/>
    </row>
    <row r="450" spans="1:7" s="169" customFormat="1">
      <c r="A450" s="31">
        <f>+A449+1</f>
        <v>7</v>
      </c>
      <c r="B450" s="22" t="s">
        <v>433</v>
      </c>
      <c r="C450" s="12" t="s">
        <v>434</v>
      </c>
      <c r="D450" s="104"/>
      <c r="E450" s="104">
        <v>1806</v>
      </c>
      <c r="F450" s="104"/>
      <c r="G450" s="168"/>
    </row>
    <row r="451" spans="1:7" s="169" customFormat="1" ht="33.6" customHeight="1">
      <c r="A451" s="34"/>
      <c r="B451" s="214" t="s">
        <v>435</v>
      </c>
      <c r="C451" s="214"/>
      <c r="D451" s="214"/>
      <c r="E451" s="214"/>
      <c r="F451" s="214"/>
      <c r="G451" s="168"/>
    </row>
    <row r="452" spans="1:7" s="169" customFormat="1" ht="67.5">
      <c r="A452" s="31">
        <v>1</v>
      </c>
      <c r="B452" s="6" t="s">
        <v>436</v>
      </c>
      <c r="C452" s="10" t="s">
        <v>404</v>
      </c>
      <c r="D452" s="126"/>
      <c r="E452" s="104">
        <v>126000</v>
      </c>
      <c r="F452" s="104">
        <v>128000</v>
      </c>
      <c r="G452" s="168"/>
    </row>
    <row r="453" spans="1:7" s="169" customFormat="1" ht="67.5">
      <c r="A453" s="31">
        <f>+A452+1</f>
        <v>2</v>
      </c>
      <c r="B453" s="6" t="s">
        <v>437</v>
      </c>
      <c r="C453" s="10" t="s">
        <v>404</v>
      </c>
      <c r="D453" s="126" t="s">
        <v>68</v>
      </c>
      <c r="E453" s="104">
        <v>121000</v>
      </c>
      <c r="F453" s="104">
        <v>123000</v>
      </c>
      <c r="G453" s="168"/>
    </row>
    <row r="454" spans="1:7" s="169" customFormat="1" ht="67.5">
      <c r="A454" s="31">
        <f>+A453+1</f>
        <v>3</v>
      </c>
      <c r="B454" s="6" t="s">
        <v>438</v>
      </c>
      <c r="C454" s="10" t="s">
        <v>404</v>
      </c>
      <c r="D454" s="126"/>
      <c r="E454" s="104">
        <v>126000</v>
      </c>
      <c r="F454" s="104">
        <v>128000</v>
      </c>
      <c r="G454" s="168"/>
    </row>
    <row r="455" spans="1:7" s="169" customFormat="1" ht="67.5">
      <c r="A455" s="31">
        <f>+A454+1</f>
        <v>4</v>
      </c>
      <c r="B455" s="6" t="s">
        <v>439</v>
      </c>
      <c r="C455" s="10" t="s">
        <v>404</v>
      </c>
      <c r="D455" s="126"/>
      <c r="E455" s="104">
        <v>136000</v>
      </c>
      <c r="F455" s="104">
        <v>138000</v>
      </c>
      <c r="G455" s="168"/>
    </row>
    <row r="456" spans="1:7" s="169" customFormat="1" ht="94.5">
      <c r="A456" s="32">
        <f>+A455+1</f>
        <v>5</v>
      </c>
      <c r="B456" s="6" t="s">
        <v>440</v>
      </c>
      <c r="C456" s="33" t="s">
        <v>404</v>
      </c>
      <c r="D456" s="130"/>
      <c r="E456" s="106">
        <v>256000</v>
      </c>
      <c r="F456" s="106">
        <v>261000</v>
      </c>
      <c r="G456" s="168"/>
    </row>
    <row r="457" spans="1:7" s="169" customFormat="1" ht="33.6" customHeight="1">
      <c r="A457" s="34"/>
      <c r="B457" s="214" t="s">
        <v>441</v>
      </c>
      <c r="C457" s="214"/>
      <c r="D457" s="214"/>
      <c r="E457" s="214"/>
      <c r="F457" s="214"/>
      <c r="G457" s="168"/>
    </row>
    <row r="458" spans="1:7" s="169" customFormat="1">
      <c r="A458" s="31"/>
      <c r="B458" s="8" t="s">
        <v>442</v>
      </c>
      <c r="C458" s="10"/>
      <c r="D458" s="126"/>
      <c r="E458" s="104"/>
      <c r="F458" s="104"/>
      <c r="G458" s="168"/>
    </row>
    <row r="459" spans="1:7" s="169" customFormat="1" ht="40.5">
      <c r="A459" s="31">
        <f>+A456+1</f>
        <v>6</v>
      </c>
      <c r="B459" s="6" t="s">
        <v>443</v>
      </c>
      <c r="C459" s="10" t="s">
        <v>404</v>
      </c>
      <c r="D459" s="126"/>
      <c r="E459" s="104">
        <v>127000</v>
      </c>
      <c r="F459" s="104">
        <v>129000</v>
      </c>
      <c r="G459" s="168"/>
    </row>
    <row r="460" spans="1:7" s="169" customFormat="1">
      <c r="A460" s="31"/>
      <c r="B460" s="6" t="s">
        <v>444</v>
      </c>
      <c r="C460" s="10"/>
      <c r="D460" s="126"/>
      <c r="E460" s="104"/>
      <c r="F460" s="104"/>
      <c r="G460" s="168"/>
    </row>
    <row r="461" spans="1:7" s="169" customFormat="1" ht="40.5">
      <c r="A461" s="31">
        <f>+A459+1</f>
        <v>7</v>
      </c>
      <c r="B461" s="6" t="s">
        <v>445</v>
      </c>
      <c r="C461" s="10" t="s">
        <v>404</v>
      </c>
      <c r="D461" s="126"/>
      <c r="E461" s="104">
        <v>130000</v>
      </c>
      <c r="F461" s="104">
        <v>132000</v>
      </c>
      <c r="G461" s="168"/>
    </row>
    <row r="462" spans="1:7" s="169" customFormat="1">
      <c r="A462" s="31"/>
      <c r="B462" s="6" t="s">
        <v>446</v>
      </c>
      <c r="C462" s="10"/>
      <c r="D462" s="126"/>
      <c r="E462" s="104"/>
      <c r="F462" s="104"/>
      <c r="G462" s="168"/>
    </row>
    <row r="463" spans="1:7" s="169" customFormat="1" ht="40.5">
      <c r="A463" s="31">
        <f>+A461+1</f>
        <v>8</v>
      </c>
      <c r="B463" s="6" t="s">
        <v>447</v>
      </c>
      <c r="C463" s="10" t="s">
        <v>404</v>
      </c>
      <c r="D463" s="126"/>
      <c r="E463" s="104">
        <v>248000</v>
      </c>
      <c r="F463" s="104">
        <v>250000</v>
      </c>
      <c r="G463" s="168"/>
    </row>
    <row r="464" spans="1:7" s="169" customFormat="1">
      <c r="A464" s="31"/>
      <c r="B464" s="8" t="s">
        <v>448</v>
      </c>
      <c r="C464" s="10"/>
      <c r="D464" s="126"/>
      <c r="E464" s="104"/>
      <c r="F464" s="104"/>
      <c r="G464" s="168"/>
    </row>
    <row r="465" spans="1:7" s="169" customFormat="1">
      <c r="A465" s="31">
        <f>+A463+1</f>
        <v>9</v>
      </c>
      <c r="B465" s="6" t="s">
        <v>449</v>
      </c>
      <c r="C465" s="10" t="s">
        <v>450</v>
      </c>
      <c r="D465" s="126"/>
      <c r="E465" s="104">
        <v>115000</v>
      </c>
      <c r="F465" s="104">
        <v>117000</v>
      </c>
      <c r="G465" s="168"/>
    </row>
    <row r="466" spans="1:7" s="169" customFormat="1">
      <c r="A466" s="31">
        <f>+A465+1</f>
        <v>10</v>
      </c>
      <c r="B466" s="6" t="s">
        <v>451</v>
      </c>
      <c r="C466" s="10" t="s">
        <v>450</v>
      </c>
      <c r="D466" s="126"/>
      <c r="E466" s="104">
        <v>138000</v>
      </c>
      <c r="F466" s="104">
        <v>140000</v>
      </c>
      <c r="G466" s="168"/>
    </row>
    <row r="467" spans="1:7" s="169" customFormat="1">
      <c r="A467" s="31">
        <f>+A466+1</f>
        <v>11</v>
      </c>
      <c r="B467" s="6" t="s">
        <v>452</v>
      </c>
      <c r="C467" s="10" t="s">
        <v>450</v>
      </c>
      <c r="D467" s="126"/>
      <c r="E467" s="104">
        <v>141000</v>
      </c>
      <c r="F467" s="104">
        <v>143000</v>
      </c>
      <c r="G467" s="168"/>
    </row>
    <row r="468" spans="1:7" s="169" customFormat="1">
      <c r="A468" s="31">
        <f>+A467+1</f>
        <v>12</v>
      </c>
      <c r="B468" s="6" t="s">
        <v>453</v>
      </c>
      <c r="C468" s="10" t="s">
        <v>450</v>
      </c>
      <c r="D468" s="126"/>
      <c r="E468" s="104">
        <v>226000</v>
      </c>
      <c r="F468" s="104">
        <v>228000</v>
      </c>
      <c r="G468" s="168"/>
    </row>
    <row r="469" spans="1:7" s="169" customFormat="1">
      <c r="A469" s="32">
        <f>+A468+1</f>
        <v>13</v>
      </c>
      <c r="B469" s="7" t="s">
        <v>454</v>
      </c>
      <c r="C469" s="33" t="s">
        <v>450</v>
      </c>
      <c r="D469" s="130"/>
      <c r="E469" s="106">
        <v>37000</v>
      </c>
      <c r="F469" s="106">
        <v>39000</v>
      </c>
      <c r="G469" s="168"/>
    </row>
    <row r="470" spans="1:7" s="169" customFormat="1" ht="30.95" customHeight="1">
      <c r="A470" s="44"/>
      <c r="B470" s="214" t="s">
        <v>455</v>
      </c>
      <c r="C470" s="214"/>
      <c r="D470" s="214"/>
      <c r="E470" s="214"/>
      <c r="F470" s="214"/>
      <c r="G470" s="168"/>
    </row>
    <row r="471" spans="1:7" s="169" customFormat="1" ht="135">
      <c r="A471" s="31">
        <v>1</v>
      </c>
      <c r="B471" s="6" t="s">
        <v>456</v>
      </c>
      <c r="C471" s="10" t="s">
        <v>404</v>
      </c>
      <c r="D471" s="126"/>
      <c r="E471" s="104">
        <v>148633</v>
      </c>
      <c r="F471" s="104"/>
      <c r="G471" s="168"/>
    </row>
    <row r="472" spans="1:7" s="169" customFormat="1" ht="108">
      <c r="A472" s="31">
        <f>+A471+1</f>
        <v>2</v>
      </c>
      <c r="B472" s="6" t="s">
        <v>457</v>
      </c>
      <c r="C472" s="10" t="s">
        <v>404</v>
      </c>
      <c r="D472" s="126"/>
      <c r="E472" s="104">
        <v>124264</v>
      </c>
      <c r="F472" s="104"/>
      <c r="G472" s="168"/>
    </row>
    <row r="473" spans="1:7" s="169" customFormat="1" ht="94.5">
      <c r="A473" s="44">
        <f>+A472+1</f>
        <v>3</v>
      </c>
      <c r="B473" s="9" t="s">
        <v>458</v>
      </c>
      <c r="C473" s="10" t="s">
        <v>404</v>
      </c>
      <c r="D473" s="132"/>
      <c r="E473" s="115">
        <v>120000</v>
      </c>
      <c r="F473" s="115"/>
      <c r="G473" s="168"/>
    </row>
    <row r="474" spans="1:7" s="169" customFormat="1" ht="108">
      <c r="A474" s="31">
        <f>+A473+1</f>
        <v>4</v>
      </c>
      <c r="B474" s="6" t="s">
        <v>459</v>
      </c>
      <c r="C474" s="10" t="s">
        <v>404</v>
      </c>
      <c r="D474" s="126"/>
      <c r="E474" s="104">
        <v>127208</v>
      </c>
      <c r="F474" s="104"/>
      <c r="G474" s="168"/>
    </row>
    <row r="475" spans="1:7" s="169" customFormat="1" ht="94.5">
      <c r="A475" s="37">
        <f>+A474+1</f>
        <v>5</v>
      </c>
      <c r="B475" s="6" t="s">
        <v>460</v>
      </c>
      <c r="C475" s="10" t="s">
        <v>404</v>
      </c>
      <c r="D475" s="133"/>
      <c r="E475" s="121">
        <v>323789</v>
      </c>
      <c r="F475" s="121"/>
      <c r="G475" s="168"/>
    </row>
    <row r="476" spans="1:7" s="169" customFormat="1" ht="15.75">
      <c r="A476" s="176" t="s">
        <v>461</v>
      </c>
      <c r="B476" s="213" t="s">
        <v>462</v>
      </c>
      <c r="C476" s="213"/>
      <c r="D476" s="213"/>
      <c r="E476" s="213"/>
      <c r="F476" s="213"/>
      <c r="G476" s="168"/>
    </row>
    <row r="477" spans="1:7" s="169" customFormat="1" ht="15.75">
      <c r="A477" s="30"/>
      <c r="B477" s="177" t="s">
        <v>463</v>
      </c>
      <c r="C477" s="187"/>
      <c r="D477" s="128"/>
      <c r="E477" s="128"/>
      <c r="F477" s="128"/>
      <c r="G477" s="168"/>
    </row>
    <row r="478" spans="1:7" s="169" customFormat="1" ht="38.1" customHeight="1">
      <c r="A478" s="31"/>
      <c r="B478" s="214" t="s">
        <v>464</v>
      </c>
      <c r="C478" s="214"/>
      <c r="D478" s="214"/>
      <c r="E478" s="214"/>
      <c r="F478" s="214"/>
      <c r="G478" s="168"/>
    </row>
    <row r="479" spans="1:7" s="169" customFormat="1" ht="27">
      <c r="A479" s="31">
        <v>1</v>
      </c>
      <c r="B479" s="81" t="s">
        <v>465</v>
      </c>
      <c r="C479" s="10" t="s">
        <v>404</v>
      </c>
      <c r="D479" s="104">
        <v>86100</v>
      </c>
      <c r="E479" s="104"/>
      <c r="F479" s="104"/>
      <c r="G479" s="168"/>
    </row>
    <row r="480" spans="1:7" s="169" customFormat="1" ht="16.5">
      <c r="A480" s="32">
        <f>+A479+1</f>
        <v>2</v>
      </c>
      <c r="B480" s="82" t="s">
        <v>466</v>
      </c>
      <c r="C480" s="33" t="s">
        <v>404</v>
      </c>
      <c r="D480" s="106">
        <v>85050</v>
      </c>
      <c r="E480" s="106"/>
      <c r="F480" s="106"/>
      <c r="G480" s="168"/>
    </row>
    <row r="481" spans="1:7" s="169" customFormat="1" ht="15.75">
      <c r="A481" s="34"/>
      <c r="B481" s="188" t="s">
        <v>467</v>
      </c>
      <c r="C481" s="189"/>
      <c r="D481" s="190"/>
      <c r="E481" s="190"/>
      <c r="F481" s="190"/>
      <c r="G481" s="168"/>
    </row>
    <row r="482" spans="1:7" s="169" customFormat="1" ht="15" customHeight="1">
      <c r="A482" s="31"/>
      <c r="B482" s="213" t="s">
        <v>468</v>
      </c>
      <c r="C482" s="213"/>
      <c r="D482" s="213"/>
      <c r="E482" s="213"/>
      <c r="F482" s="213"/>
      <c r="G482" s="168"/>
    </row>
    <row r="483" spans="1:7" s="169" customFormat="1">
      <c r="A483" s="31">
        <v>1</v>
      </c>
      <c r="B483" s="81" t="s">
        <v>469</v>
      </c>
      <c r="C483" s="31" t="s">
        <v>470</v>
      </c>
      <c r="D483" s="104">
        <f>750/1.1</f>
        <v>681.81818181818176</v>
      </c>
      <c r="E483" s="104"/>
      <c r="F483" s="104"/>
      <c r="G483" s="168"/>
    </row>
    <row r="484" spans="1:7" s="169" customFormat="1">
      <c r="A484" s="31">
        <f>+A483+1</f>
        <v>2</v>
      </c>
      <c r="B484" s="81" t="s">
        <v>471</v>
      </c>
      <c r="C484" s="31" t="s">
        <v>470</v>
      </c>
      <c r="D484" s="104">
        <f>700/1.1</f>
        <v>636.36363636363626</v>
      </c>
      <c r="E484" s="104"/>
      <c r="F484" s="104"/>
      <c r="G484" s="168"/>
    </row>
    <row r="485" spans="1:7" s="169" customFormat="1">
      <c r="A485" s="31">
        <f>+A484+1</f>
        <v>3</v>
      </c>
      <c r="B485" s="81" t="s">
        <v>472</v>
      </c>
      <c r="C485" s="31" t="s">
        <v>470</v>
      </c>
      <c r="D485" s="104">
        <f>650/1.1</f>
        <v>590.90909090909088</v>
      </c>
      <c r="E485" s="104"/>
      <c r="F485" s="104"/>
      <c r="G485" s="168"/>
    </row>
    <row r="486" spans="1:7" s="169" customFormat="1">
      <c r="A486" s="32">
        <f>+A485+1</f>
        <v>4</v>
      </c>
      <c r="B486" s="82" t="s">
        <v>473</v>
      </c>
      <c r="C486" s="32" t="s">
        <v>470</v>
      </c>
      <c r="D486" s="106">
        <f>600/1.1</f>
        <v>545.45454545454538</v>
      </c>
      <c r="E486" s="106"/>
      <c r="F486" s="106"/>
      <c r="G486" s="168"/>
    </row>
    <row r="487" spans="1:7" s="169" customFormat="1" ht="15.75">
      <c r="A487" s="34"/>
      <c r="B487" s="213" t="s">
        <v>474</v>
      </c>
      <c r="C487" s="213"/>
      <c r="D487" s="213"/>
      <c r="E487" s="213"/>
      <c r="F487" s="213"/>
      <c r="G487" s="168"/>
    </row>
    <row r="488" spans="1:7" s="169" customFormat="1">
      <c r="A488" s="31">
        <v>1</v>
      </c>
      <c r="B488" s="81" t="s">
        <v>469</v>
      </c>
      <c r="C488" s="31" t="s">
        <v>470</v>
      </c>
      <c r="D488" s="104">
        <v>750</v>
      </c>
      <c r="E488" s="104"/>
      <c r="F488" s="104"/>
      <c r="G488" s="168"/>
    </row>
    <row r="489" spans="1:7" s="169" customFormat="1">
      <c r="A489" s="31">
        <f>+A488+1</f>
        <v>2</v>
      </c>
      <c r="B489" s="81" t="s">
        <v>471</v>
      </c>
      <c r="C489" s="31" t="s">
        <v>470</v>
      </c>
      <c r="D489" s="104">
        <v>700</v>
      </c>
      <c r="E489" s="104"/>
      <c r="F489" s="131"/>
      <c r="G489" s="168"/>
    </row>
    <row r="490" spans="1:7" s="169" customFormat="1">
      <c r="A490" s="31">
        <f>+A489+1</f>
        <v>3</v>
      </c>
      <c r="B490" s="81" t="s">
        <v>472</v>
      </c>
      <c r="C490" s="31" t="s">
        <v>470</v>
      </c>
      <c r="D490" s="104">
        <v>700</v>
      </c>
      <c r="E490" s="104"/>
      <c r="F490" s="131"/>
      <c r="G490" s="168"/>
    </row>
    <row r="491" spans="1:7" s="169" customFormat="1">
      <c r="A491" s="32">
        <f>+A490+1</f>
        <v>4</v>
      </c>
      <c r="B491" s="82" t="s">
        <v>473</v>
      </c>
      <c r="C491" s="32" t="s">
        <v>470</v>
      </c>
      <c r="D491" s="104">
        <v>650</v>
      </c>
      <c r="E491" s="106"/>
      <c r="F491" s="134"/>
      <c r="G491" s="168"/>
    </row>
    <row r="492" spans="1:7" s="169" customFormat="1" ht="15.75">
      <c r="A492" s="34"/>
      <c r="B492" s="213" t="s">
        <v>475</v>
      </c>
      <c r="C492" s="213"/>
      <c r="D492" s="213"/>
      <c r="E492" s="213"/>
      <c r="F492" s="213"/>
      <c r="G492" s="168"/>
    </row>
    <row r="493" spans="1:7" s="169" customFormat="1">
      <c r="A493" s="31">
        <v>1</v>
      </c>
      <c r="B493" s="81" t="s">
        <v>469</v>
      </c>
      <c r="C493" s="31" t="s">
        <v>470</v>
      </c>
      <c r="D493" s="104">
        <v>700</v>
      </c>
      <c r="E493" s="123"/>
      <c r="F493" s="104"/>
      <c r="G493" s="168"/>
    </row>
    <row r="494" spans="1:7" s="169" customFormat="1">
      <c r="A494" s="31">
        <f>+A493+1</f>
        <v>2</v>
      </c>
      <c r="B494" s="81" t="s">
        <v>471</v>
      </c>
      <c r="C494" s="31" t="s">
        <v>470</v>
      </c>
      <c r="D494" s="104">
        <v>670</v>
      </c>
      <c r="E494" s="123"/>
      <c r="F494" s="131"/>
      <c r="G494" s="168"/>
    </row>
    <row r="495" spans="1:7" s="169" customFormat="1">
      <c r="A495" s="31">
        <f>+A494+1</f>
        <v>3</v>
      </c>
      <c r="B495" s="81" t="s">
        <v>472</v>
      </c>
      <c r="C495" s="31" t="s">
        <v>470</v>
      </c>
      <c r="D495" s="104">
        <v>620</v>
      </c>
      <c r="E495" s="123"/>
      <c r="F495" s="131"/>
      <c r="G495" s="168"/>
    </row>
    <row r="496" spans="1:7" s="169" customFormat="1">
      <c r="A496" s="32">
        <f>+A495+1</f>
        <v>4</v>
      </c>
      <c r="B496" s="82" t="s">
        <v>473</v>
      </c>
      <c r="C496" s="32" t="s">
        <v>470</v>
      </c>
      <c r="D496" s="104">
        <v>570</v>
      </c>
      <c r="E496" s="135"/>
      <c r="F496" s="134"/>
      <c r="G496" s="168"/>
    </row>
    <row r="497" spans="1:7" s="169" customFormat="1" ht="15.75">
      <c r="A497" s="34"/>
      <c r="B497" s="213" t="s">
        <v>476</v>
      </c>
      <c r="C497" s="213"/>
      <c r="D497" s="213"/>
      <c r="E497" s="213"/>
      <c r="F497" s="213"/>
      <c r="G497" s="168"/>
    </row>
    <row r="498" spans="1:7" s="169" customFormat="1">
      <c r="A498" s="31">
        <v>1</v>
      </c>
      <c r="B498" s="81" t="s">
        <v>469</v>
      </c>
      <c r="C498" s="31" t="s">
        <v>470</v>
      </c>
      <c r="D498" s="104">
        <f>750/1.1</f>
        <v>681.81818181818176</v>
      </c>
      <c r="E498" s="104"/>
      <c r="F498" s="104"/>
      <c r="G498" s="168"/>
    </row>
    <row r="499" spans="1:7" s="169" customFormat="1">
      <c r="A499" s="31">
        <f>+A498+1</f>
        <v>2</v>
      </c>
      <c r="B499" s="81" t="s">
        <v>471</v>
      </c>
      <c r="C499" s="31" t="s">
        <v>470</v>
      </c>
      <c r="D499" s="104">
        <f>700/1.1</f>
        <v>636.36363636363626</v>
      </c>
      <c r="E499" s="104"/>
      <c r="F499" s="104"/>
      <c r="G499" s="168"/>
    </row>
    <row r="500" spans="1:7" s="169" customFormat="1">
      <c r="A500" s="31">
        <f>+A499+1</f>
        <v>3</v>
      </c>
      <c r="B500" s="81" t="s">
        <v>472</v>
      </c>
      <c r="C500" s="31" t="s">
        <v>470</v>
      </c>
      <c r="D500" s="104">
        <f>680/1.1</f>
        <v>618.18181818181813</v>
      </c>
      <c r="E500" s="104"/>
      <c r="F500" s="104"/>
      <c r="G500" s="168"/>
    </row>
    <row r="501" spans="1:7" s="169" customFormat="1">
      <c r="A501" s="32">
        <f>+A500+1</f>
        <v>4</v>
      </c>
      <c r="B501" s="82" t="s">
        <v>473</v>
      </c>
      <c r="C501" s="32" t="s">
        <v>470</v>
      </c>
      <c r="D501" s="106">
        <f>650/1.1</f>
        <v>590.90909090909088</v>
      </c>
      <c r="E501" s="106"/>
      <c r="F501" s="106"/>
      <c r="G501" s="168"/>
    </row>
    <row r="502" spans="1:7" s="169" customFormat="1" ht="33.6" customHeight="1">
      <c r="A502" s="34"/>
      <c r="B502" s="214" t="s">
        <v>477</v>
      </c>
      <c r="C502" s="214"/>
      <c r="D502" s="214"/>
      <c r="E502" s="214"/>
      <c r="F502" s="214"/>
      <c r="G502" s="168"/>
    </row>
    <row r="503" spans="1:7" s="169" customFormat="1">
      <c r="A503" s="31">
        <v>1</v>
      </c>
      <c r="B503" s="81" t="s">
        <v>478</v>
      </c>
      <c r="C503" s="31" t="s">
        <v>470</v>
      </c>
      <c r="D503" s="104">
        <v>1000</v>
      </c>
      <c r="E503" s="104"/>
      <c r="F503" s="104"/>
      <c r="G503" s="168"/>
    </row>
    <row r="504" spans="1:7" s="169" customFormat="1">
      <c r="A504" s="31">
        <f t="shared" ref="A504:A516" si="19">+A503+1</f>
        <v>2</v>
      </c>
      <c r="B504" s="81" t="s">
        <v>479</v>
      </c>
      <c r="C504" s="31" t="s">
        <v>470</v>
      </c>
      <c r="D504" s="104">
        <v>1000</v>
      </c>
      <c r="E504" s="104"/>
      <c r="F504" s="104"/>
      <c r="G504" s="168"/>
    </row>
    <row r="505" spans="1:7" s="169" customFormat="1">
      <c r="A505" s="31">
        <f t="shared" si="19"/>
        <v>3</v>
      </c>
      <c r="B505" s="81" t="s">
        <v>480</v>
      </c>
      <c r="C505" s="31" t="s">
        <v>470</v>
      </c>
      <c r="D505" s="104">
        <v>909</v>
      </c>
      <c r="E505" s="104"/>
      <c r="F505" s="104"/>
      <c r="G505" s="168"/>
    </row>
    <row r="506" spans="1:7" s="169" customFormat="1">
      <c r="A506" s="31">
        <f t="shared" si="19"/>
        <v>4</v>
      </c>
      <c r="B506" s="81" t="s">
        <v>481</v>
      </c>
      <c r="C506" s="31" t="s">
        <v>470</v>
      </c>
      <c r="D506" s="104">
        <v>2909</v>
      </c>
      <c r="E506" s="104"/>
      <c r="F506" s="104"/>
      <c r="G506" s="168"/>
    </row>
    <row r="507" spans="1:7" s="169" customFormat="1" ht="16.5">
      <c r="A507" s="31">
        <f t="shared" si="19"/>
        <v>5</v>
      </c>
      <c r="B507" s="81" t="s">
        <v>482</v>
      </c>
      <c r="C507" s="31" t="s">
        <v>470</v>
      </c>
      <c r="D507" s="104">
        <v>5455</v>
      </c>
      <c r="E507" s="104"/>
      <c r="F507" s="104"/>
      <c r="G507" s="168"/>
    </row>
    <row r="508" spans="1:7" s="169" customFormat="1" ht="16.5">
      <c r="A508" s="31">
        <f t="shared" si="19"/>
        <v>6</v>
      </c>
      <c r="B508" s="81" t="s">
        <v>483</v>
      </c>
      <c r="C508" s="31" t="s">
        <v>470</v>
      </c>
      <c r="D508" s="104">
        <v>3636</v>
      </c>
      <c r="E508" s="104"/>
      <c r="F508" s="104"/>
      <c r="G508" s="168"/>
    </row>
    <row r="509" spans="1:7" s="169" customFormat="1">
      <c r="A509" s="31">
        <f t="shared" si="19"/>
        <v>7</v>
      </c>
      <c r="B509" s="81" t="s">
        <v>484</v>
      </c>
      <c r="C509" s="31" t="s">
        <v>470</v>
      </c>
      <c r="D509" s="104">
        <v>3182</v>
      </c>
      <c r="E509" s="104"/>
      <c r="F509" s="104"/>
      <c r="G509" s="168"/>
    </row>
    <row r="510" spans="1:7" s="169" customFormat="1">
      <c r="A510" s="31">
        <f t="shared" si="19"/>
        <v>8</v>
      </c>
      <c r="B510" s="81" t="s">
        <v>485</v>
      </c>
      <c r="C510" s="31" t="s">
        <v>470</v>
      </c>
      <c r="D510" s="104">
        <v>2818</v>
      </c>
      <c r="E510" s="104"/>
      <c r="F510" s="104"/>
      <c r="G510" s="168"/>
    </row>
    <row r="511" spans="1:7" s="169" customFormat="1">
      <c r="A511" s="31">
        <f t="shared" si="19"/>
        <v>9</v>
      </c>
      <c r="B511" s="81" t="s">
        <v>486</v>
      </c>
      <c r="C511" s="31" t="s">
        <v>470</v>
      </c>
      <c r="D511" s="104">
        <v>6091</v>
      </c>
      <c r="E511" s="104"/>
      <c r="F511" s="104"/>
      <c r="G511" s="168"/>
    </row>
    <row r="512" spans="1:7" s="169" customFormat="1">
      <c r="A512" s="31">
        <f t="shared" si="19"/>
        <v>10</v>
      </c>
      <c r="B512" s="81" t="s">
        <v>487</v>
      </c>
      <c r="C512" s="31" t="s">
        <v>470</v>
      </c>
      <c r="D512" s="104">
        <v>4455</v>
      </c>
      <c r="E512" s="104"/>
      <c r="F512" s="104"/>
      <c r="G512" s="168"/>
    </row>
    <row r="513" spans="1:7" s="169" customFormat="1">
      <c r="A513" s="31">
        <f t="shared" si="19"/>
        <v>11</v>
      </c>
      <c r="B513" s="81" t="s">
        <v>488</v>
      </c>
      <c r="C513" s="31" t="s">
        <v>470</v>
      </c>
      <c r="D513" s="104">
        <v>1682</v>
      </c>
      <c r="E513" s="104"/>
      <c r="F513" s="104"/>
      <c r="G513" s="168"/>
    </row>
    <row r="514" spans="1:7" s="169" customFormat="1">
      <c r="A514" s="31">
        <f t="shared" si="19"/>
        <v>12</v>
      </c>
      <c r="B514" s="81" t="s">
        <v>489</v>
      </c>
      <c r="C514" s="31" t="s">
        <v>470</v>
      </c>
      <c r="D514" s="104">
        <v>1682</v>
      </c>
      <c r="E514" s="104"/>
      <c r="F514" s="104"/>
      <c r="G514" s="168"/>
    </row>
    <row r="515" spans="1:7" s="169" customFormat="1">
      <c r="A515" s="31">
        <f t="shared" si="19"/>
        <v>13</v>
      </c>
      <c r="B515" s="81" t="s">
        <v>490</v>
      </c>
      <c r="C515" s="31" t="s">
        <v>470</v>
      </c>
      <c r="D515" s="104">
        <v>7909</v>
      </c>
      <c r="E515" s="104"/>
      <c r="F515" s="104"/>
      <c r="G515" s="168"/>
    </row>
    <row r="516" spans="1:7" s="169" customFormat="1">
      <c r="A516" s="32">
        <f t="shared" si="19"/>
        <v>14</v>
      </c>
      <c r="B516" s="82" t="s">
        <v>491</v>
      </c>
      <c r="C516" s="32" t="s">
        <v>470</v>
      </c>
      <c r="D516" s="106">
        <f>3500/1.1</f>
        <v>3181.8181818181815</v>
      </c>
      <c r="E516" s="106"/>
      <c r="F516" s="106"/>
      <c r="G516" s="168"/>
    </row>
    <row r="517" spans="1:7" s="169" customFormat="1" ht="37.5" customHeight="1">
      <c r="A517" s="191"/>
      <c r="B517" s="214" t="s">
        <v>492</v>
      </c>
      <c r="C517" s="214"/>
      <c r="D517" s="214"/>
      <c r="E517" s="214"/>
      <c r="F517" s="214"/>
      <c r="G517" s="168"/>
    </row>
    <row r="518" spans="1:7" s="169" customFormat="1" ht="15.75">
      <c r="A518" s="12">
        <v>1</v>
      </c>
      <c r="B518" s="6" t="s">
        <v>493</v>
      </c>
      <c r="C518" s="10" t="s">
        <v>470</v>
      </c>
      <c r="D518" s="104">
        <v>882</v>
      </c>
      <c r="E518" s="104"/>
      <c r="F518" s="110"/>
      <c r="G518" s="168"/>
    </row>
    <row r="519" spans="1:7" s="169" customFormat="1" ht="15.75">
      <c r="A519" s="12">
        <v>2</v>
      </c>
      <c r="B519" s="6" t="s">
        <v>494</v>
      </c>
      <c r="C519" s="10" t="s">
        <v>470</v>
      </c>
      <c r="D519" s="104">
        <v>882</v>
      </c>
      <c r="E519" s="104"/>
      <c r="F519" s="110"/>
      <c r="G519" s="168"/>
    </row>
    <row r="520" spans="1:7" s="169" customFormat="1" ht="15.75">
      <c r="A520" s="12">
        <v>3</v>
      </c>
      <c r="B520" s="6" t="s">
        <v>495</v>
      </c>
      <c r="C520" s="10" t="s">
        <v>470</v>
      </c>
      <c r="D520" s="104">
        <v>5909</v>
      </c>
      <c r="E520" s="104"/>
      <c r="F520" s="110"/>
      <c r="G520" s="168"/>
    </row>
    <row r="521" spans="1:7" s="169" customFormat="1" ht="15.75">
      <c r="A521" s="52">
        <v>4</v>
      </c>
      <c r="B521" s="7" t="s">
        <v>496</v>
      </c>
      <c r="C521" s="33" t="s">
        <v>470</v>
      </c>
      <c r="D521" s="106">
        <v>3727</v>
      </c>
      <c r="E521" s="106"/>
      <c r="F521" s="119"/>
      <c r="G521" s="168"/>
    </row>
    <row r="522" spans="1:7" s="169" customFormat="1" ht="36.6" customHeight="1">
      <c r="A522" s="34"/>
      <c r="B522" s="214" t="s">
        <v>497</v>
      </c>
      <c r="C522" s="214"/>
      <c r="D522" s="214"/>
      <c r="E522" s="214"/>
      <c r="F522" s="214"/>
      <c r="G522" s="168"/>
    </row>
    <row r="523" spans="1:7" s="169" customFormat="1">
      <c r="A523" s="31">
        <v>1</v>
      </c>
      <c r="B523" s="81" t="s">
        <v>498</v>
      </c>
      <c r="C523" s="31" t="s">
        <v>470</v>
      </c>
      <c r="D523" s="104">
        <v>864</v>
      </c>
      <c r="E523" s="104"/>
      <c r="F523" s="104"/>
      <c r="G523" s="168"/>
    </row>
    <row r="524" spans="1:7" s="169" customFormat="1">
      <c r="A524" s="32">
        <f>+A523+1</f>
        <v>2</v>
      </c>
      <c r="B524" s="82" t="s">
        <v>499</v>
      </c>
      <c r="C524" s="32" t="s">
        <v>470</v>
      </c>
      <c r="D524" s="106">
        <v>845</v>
      </c>
      <c r="E524" s="106"/>
      <c r="F524" s="106"/>
      <c r="G524" s="168"/>
    </row>
    <row r="525" spans="1:7" s="169" customFormat="1" ht="41.45" customHeight="1">
      <c r="A525" s="34"/>
      <c r="B525" s="214" t="s">
        <v>500</v>
      </c>
      <c r="C525" s="214"/>
      <c r="D525" s="214"/>
      <c r="E525" s="214"/>
      <c r="F525" s="214"/>
      <c r="G525" s="168"/>
    </row>
    <row r="526" spans="1:7" s="169" customFormat="1">
      <c r="A526" s="31">
        <v>1</v>
      </c>
      <c r="B526" s="81" t="s">
        <v>501</v>
      </c>
      <c r="C526" s="31" t="s">
        <v>470</v>
      </c>
      <c r="D526" s="104">
        <v>800</v>
      </c>
      <c r="E526" s="104"/>
      <c r="F526" s="104"/>
      <c r="G526" s="168"/>
    </row>
    <row r="527" spans="1:7" s="169" customFormat="1">
      <c r="A527" s="39">
        <f>+A526+1</f>
        <v>2</v>
      </c>
      <c r="B527" s="82" t="s">
        <v>502</v>
      </c>
      <c r="C527" s="32" t="s">
        <v>470</v>
      </c>
      <c r="D527" s="106">
        <v>800</v>
      </c>
      <c r="E527" s="106"/>
      <c r="F527" s="106"/>
      <c r="G527" s="168"/>
    </row>
    <row r="528" spans="1:7" s="169" customFormat="1">
      <c r="A528" s="44"/>
      <c r="B528" s="192" t="s">
        <v>503</v>
      </c>
      <c r="C528" s="26"/>
      <c r="D528" s="193"/>
      <c r="E528" s="193"/>
      <c r="F528" s="193"/>
      <c r="G528" s="168"/>
    </row>
    <row r="529" spans="1:7" s="169" customFormat="1" ht="36.950000000000003" customHeight="1">
      <c r="A529" s="31"/>
      <c r="B529" s="214" t="s">
        <v>504</v>
      </c>
      <c r="C529" s="214"/>
      <c r="D529" s="214"/>
      <c r="E529" s="214"/>
      <c r="F529" s="214"/>
      <c r="G529" s="168"/>
    </row>
    <row r="530" spans="1:7" s="169" customFormat="1">
      <c r="A530" s="31"/>
      <c r="B530" s="81" t="s">
        <v>505</v>
      </c>
      <c r="C530" s="194"/>
      <c r="D530" s="136"/>
      <c r="E530" s="195"/>
      <c r="F530" s="104"/>
      <c r="G530" s="168"/>
    </row>
    <row r="531" spans="1:7" s="169" customFormat="1">
      <c r="A531" s="31">
        <v>1</v>
      </c>
      <c r="B531" s="84" t="s">
        <v>506</v>
      </c>
      <c r="C531" s="31" t="s">
        <v>470</v>
      </c>
      <c r="D531" s="136"/>
      <c r="E531" s="104">
        <f>14300/1.1</f>
        <v>12999.999999999998</v>
      </c>
      <c r="F531" s="104"/>
      <c r="G531" s="168"/>
    </row>
    <row r="532" spans="1:7" s="169" customFormat="1">
      <c r="A532" s="31">
        <f>+A531+1</f>
        <v>2</v>
      </c>
      <c r="B532" s="84" t="s">
        <v>507</v>
      </c>
      <c r="C532" s="31" t="s">
        <v>470</v>
      </c>
      <c r="D532" s="136"/>
      <c r="E532" s="104">
        <f>14300/1.1</f>
        <v>12999.999999999998</v>
      </c>
      <c r="F532" s="104"/>
      <c r="G532" s="168"/>
    </row>
    <row r="533" spans="1:7" s="169" customFormat="1">
      <c r="A533" s="31">
        <f>+A532+1</f>
        <v>3</v>
      </c>
      <c r="B533" s="84" t="s">
        <v>508</v>
      </c>
      <c r="C533" s="31" t="s">
        <v>470</v>
      </c>
      <c r="D533" s="136"/>
      <c r="E533" s="104">
        <f>14300/1.1</f>
        <v>12999.999999999998</v>
      </c>
      <c r="F533" s="104"/>
      <c r="G533" s="168"/>
    </row>
    <row r="534" spans="1:7" s="169" customFormat="1">
      <c r="A534" s="31">
        <f>+A533+1</f>
        <v>4</v>
      </c>
      <c r="B534" s="81" t="s">
        <v>509</v>
      </c>
      <c r="C534" s="31" t="s">
        <v>470</v>
      </c>
      <c r="D534" s="136"/>
      <c r="E534" s="104">
        <f>24200/1.1</f>
        <v>22000</v>
      </c>
      <c r="F534" s="104"/>
      <c r="G534" s="168"/>
    </row>
    <row r="535" spans="1:7" s="169" customFormat="1">
      <c r="A535" s="32">
        <f>+A534+1</f>
        <v>5</v>
      </c>
      <c r="B535" s="82" t="s">
        <v>510</v>
      </c>
      <c r="C535" s="32" t="s">
        <v>470</v>
      </c>
      <c r="D535" s="137"/>
      <c r="E535" s="106">
        <f>24200/1.1</f>
        <v>22000</v>
      </c>
      <c r="F535" s="106"/>
      <c r="G535" s="168"/>
    </row>
    <row r="536" spans="1:7" s="169" customFormat="1" ht="30.6" customHeight="1">
      <c r="A536" s="34"/>
      <c r="B536" s="214" t="s">
        <v>511</v>
      </c>
      <c r="C536" s="214"/>
      <c r="D536" s="214"/>
      <c r="E536" s="214"/>
      <c r="F536" s="214"/>
      <c r="G536" s="168"/>
    </row>
    <row r="537" spans="1:7" s="169" customFormat="1">
      <c r="A537" s="31"/>
      <c r="B537" s="8" t="s">
        <v>512</v>
      </c>
      <c r="C537" s="49"/>
      <c r="D537" s="138"/>
      <c r="E537" s="138"/>
      <c r="F537" s="138"/>
      <c r="G537" s="168"/>
    </row>
    <row r="538" spans="1:7" s="169" customFormat="1">
      <c r="A538" s="31"/>
      <c r="B538" s="6" t="s">
        <v>513</v>
      </c>
      <c r="C538" s="31"/>
      <c r="D538" s="138"/>
      <c r="E538" s="104"/>
      <c r="F538" s="104"/>
      <c r="G538" s="168"/>
    </row>
    <row r="539" spans="1:7" s="169" customFormat="1">
      <c r="A539" s="31">
        <v>1</v>
      </c>
      <c r="B539" s="22" t="s">
        <v>514</v>
      </c>
      <c r="C539" s="31" t="s">
        <v>470</v>
      </c>
      <c r="D539" s="138"/>
      <c r="E539" s="104">
        <f>13970/1.1</f>
        <v>12699.999999999998</v>
      </c>
      <c r="F539" s="104"/>
      <c r="G539" s="168"/>
    </row>
    <row r="540" spans="1:7" s="169" customFormat="1">
      <c r="A540" s="31">
        <f>+A539+1</f>
        <v>2</v>
      </c>
      <c r="B540" s="22" t="s">
        <v>515</v>
      </c>
      <c r="C540" s="31" t="s">
        <v>470</v>
      </c>
      <c r="D540" s="138"/>
      <c r="E540" s="104">
        <f>14300/1.1</f>
        <v>12999.999999999998</v>
      </c>
      <c r="F540" s="104"/>
      <c r="G540" s="168"/>
    </row>
    <row r="541" spans="1:7" s="169" customFormat="1">
      <c r="A541" s="31">
        <f t="shared" ref="A541:A549" si="20">+A540+1</f>
        <v>3</v>
      </c>
      <c r="B541" s="6" t="s">
        <v>509</v>
      </c>
      <c r="C541" s="31" t="s">
        <v>470</v>
      </c>
      <c r="D541" s="138"/>
      <c r="E541" s="104">
        <f>27500/1.1</f>
        <v>24999.999999999996</v>
      </c>
      <c r="F541" s="104"/>
      <c r="G541" s="168"/>
    </row>
    <row r="542" spans="1:7" s="169" customFormat="1">
      <c r="A542" s="31">
        <f t="shared" si="20"/>
        <v>4</v>
      </c>
      <c r="B542" s="81" t="s">
        <v>510</v>
      </c>
      <c r="C542" s="31" t="s">
        <v>470</v>
      </c>
      <c r="D542" s="136"/>
      <c r="E542" s="104">
        <f>27500/1.1</f>
        <v>24999.999999999996</v>
      </c>
      <c r="F542" s="104"/>
      <c r="G542" s="168"/>
    </row>
    <row r="543" spans="1:7" s="169" customFormat="1">
      <c r="A543" s="31">
        <f t="shared" si="20"/>
        <v>5</v>
      </c>
      <c r="B543" s="81" t="s">
        <v>516</v>
      </c>
      <c r="C543" s="31" t="s">
        <v>470</v>
      </c>
      <c r="D543" s="136"/>
      <c r="E543" s="104">
        <f>33500/1.1</f>
        <v>30454.545454545452</v>
      </c>
      <c r="F543" s="104"/>
      <c r="G543" s="168"/>
    </row>
    <row r="544" spans="1:7" s="169" customFormat="1">
      <c r="A544" s="31">
        <f t="shared" si="20"/>
        <v>6</v>
      </c>
      <c r="B544" s="81" t="s">
        <v>517</v>
      </c>
      <c r="C544" s="31" t="s">
        <v>470</v>
      </c>
      <c r="D544" s="136"/>
      <c r="E544" s="104">
        <f>35500/1.1</f>
        <v>32272.727272727268</v>
      </c>
      <c r="F544" s="104"/>
      <c r="G544" s="168"/>
    </row>
    <row r="545" spans="1:7" s="169" customFormat="1">
      <c r="A545" s="32">
        <f t="shared" si="20"/>
        <v>7</v>
      </c>
      <c r="B545" s="82" t="s">
        <v>518</v>
      </c>
      <c r="C545" s="32" t="s">
        <v>470</v>
      </c>
      <c r="D545" s="137"/>
      <c r="E545" s="106">
        <f>35500/1.1</f>
        <v>32272.727272727268</v>
      </c>
      <c r="F545" s="106"/>
      <c r="G545" s="168"/>
    </row>
    <row r="546" spans="1:7" s="169" customFormat="1" ht="15" customHeight="1">
      <c r="A546" s="34"/>
      <c r="B546" s="76" t="s">
        <v>519</v>
      </c>
      <c r="C546" s="186"/>
      <c r="D546" s="162"/>
      <c r="E546" s="162"/>
      <c r="F546" s="162"/>
      <c r="G546" s="168"/>
    </row>
    <row r="547" spans="1:7" s="169" customFormat="1">
      <c r="A547" s="31">
        <f>+A545+1</f>
        <v>8</v>
      </c>
      <c r="B547" s="81" t="s">
        <v>520</v>
      </c>
      <c r="C547" s="31" t="s">
        <v>135</v>
      </c>
      <c r="D547" s="136"/>
      <c r="E547" s="104">
        <f>15490000/1.1</f>
        <v>14081818.18181818</v>
      </c>
      <c r="F547" s="104"/>
      <c r="G547" s="168"/>
    </row>
    <row r="548" spans="1:7" s="169" customFormat="1">
      <c r="A548" s="31">
        <f t="shared" si="20"/>
        <v>9</v>
      </c>
      <c r="B548" s="81" t="s">
        <v>521</v>
      </c>
      <c r="C548" s="31" t="s">
        <v>135</v>
      </c>
      <c r="D548" s="136"/>
      <c r="E548" s="104">
        <f>19490000/1.1</f>
        <v>17718181.818181816</v>
      </c>
      <c r="F548" s="104"/>
      <c r="G548" s="168"/>
    </row>
    <row r="549" spans="1:7" s="169" customFormat="1">
      <c r="A549" s="31">
        <f t="shared" si="20"/>
        <v>10</v>
      </c>
      <c r="B549" s="81" t="s">
        <v>522</v>
      </c>
      <c r="C549" s="31" t="s">
        <v>398</v>
      </c>
      <c r="D549" s="136"/>
      <c r="E549" s="104">
        <f>18888000/1.1</f>
        <v>17170909.09090909</v>
      </c>
      <c r="F549" s="104"/>
      <c r="G549" s="168"/>
    </row>
    <row r="550" spans="1:7" s="169" customFormat="1">
      <c r="A550" s="39">
        <f>+A549+1</f>
        <v>11</v>
      </c>
      <c r="B550" s="83" t="s">
        <v>523</v>
      </c>
      <c r="C550" s="39" t="s">
        <v>398</v>
      </c>
      <c r="D550" s="139"/>
      <c r="E550" s="109">
        <f>22888000/1.1</f>
        <v>20807272.727272727</v>
      </c>
      <c r="F550" s="109"/>
      <c r="G550" s="168"/>
    </row>
    <row r="551" spans="1:7" s="169" customFormat="1" ht="15.75">
      <c r="A551" s="34"/>
      <c r="B551" s="214" t="s">
        <v>524</v>
      </c>
      <c r="C551" s="214"/>
      <c r="D551" s="214"/>
      <c r="E551" s="214"/>
      <c r="F551" s="214"/>
      <c r="G551" s="168"/>
    </row>
    <row r="552" spans="1:7" s="169" customFormat="1" ht="15" customHeight="1">
      <c r="A552" s="31"/>
      <c r="B552" s="214" t="s">
        <v>525</v>
      </c>
      <c r="C552" s="214"/>
      <c r="D552" s="214"/>
      <c r="E552" s="214"/>
      <c r="F552" s="214"/>
      <c r="G552" s="168"/>
    </row>
    <row r="553" spans="1:7" s="169" customFormat="1" ht="27">
      <c r="A553" s="31">
        <v>1</v>
      </c>
      <c r="B553" s="6" t="s">
        <v>526</v>
      </c>
      <c r="C553" s="31" t="s">
        <v>404</v>
      </c>
      <c r="D553" s="136"/>
      <c r="E553" s="104">
        <f>295000/1.1</f>
        <v>268181.81818181818</v>
      </c>
      <c r="F553" s="104"/>
      <c r="G553" s="168"/>
    </row>
    <row r="554" spans="1:7" s="169" customFormat="1" ht="27">
      <c r="A554" s="31">
        <v>2</v>
      </c>
      <c r="B554" s="6" t="s">
        <v>527</v>
      </c>
      <c r="C554" s="31" t="s">
        <v>404</v>
      </c>
      <c r="D554" s="136"/>
      <c r="E554" s="104">
        <f>215000/1.1</f>
        <v>195454.54545454544</v>
      </c>
      <c r="F554" s="104"/>
      <c r="G554" s="168"/>
    </row>
    <row r="555" spans="1:7" s="169" customFormat="1">
      <c r="A555" s="31"/>
      <c r="B555" s="6" t="s">
        <v>528</v>
      </c>
      <c r="C555" s="194"/>
      <c r="D555" s="136"/>
      <c r="E555" s="104"/>
      <c r="F555" s="104"/>
      <c r="G555" s="168"/>
    </row>
    <row r="556" spans="1:7" s="169" customFormat="1" ht="16.5">
      <c r="A556" s="31">
        <v>3</v>
      </c>
      <c r="B556" s="22" t="s">
        <v>529</v>
      </c>
      <c r="C556" s="31" t="s">
        <v>404</v>
      </c>
      <c r="D556" s="136"/>
      <c r="E556" s="104">
        <f>159000/1.1</f>
        <v>144545.45454545453</v>
      </c>
      <c r="F556" s="104"/>
      <c r="G556" s="168"/>
    </row>
    <row r="557" spans="1:7" s="169" customFormat="1" ht="16.5">
      <c r="A557" s="31">
        <v>4</v>
      </c>
      <c r="B557" s="22" t="s">
        <v>530</v>
      </c>
      <c r="C557" s="31" t="s">
        <v>404</v>
      </c>
      <c r="D557" s="136"/>
      <c r="E557" s="104">
        <f>131000/1.1</f>
        <v>119090.90909090909</v>
      </c>
      <c r="F557" s="104"/>
      <c r="G557" s="168"/>
    </row>
    <row r="558" spans="1:7" s="169" customFormat="1">
      <c r="A558" s="31">
        <v>5</v>
      </c>
      <c r="B558" s="22" t="s">
        <v>531</v>
      </c>
      <c r="C558" s="31"/>
      <c r="D558" s="136"/>
      <c r="E558" s="104">
        <f>125000/1.1</f>
        <v>113636.36363636363</v>
      </c>
      <c r="F558" s="104"/>
      <c r="G558" s="168"/>
    </row>
    <row r="559" spans="1:7" s="169" customFormat="1">
      <c r="A559" s="31">
        <v>6</v>
      </c>
      <c r="B559" s="84" t="s">
        <v>532</v>
      </c>
      <c r="C559" s="31" t="s">
        <v>470</v>
      </c>
      <c r="D559" s="136"/>
      <c r="E559" s="104">
        <f>14600/1.1</f>
        <v>13272.727272727272</v>
      </c>
      <c r="F559" s="104"/>
      <c r="G559" s="168"/>
    </row>
    <row r="560" spans="1:7" s="169" customFormat="1">
      <c r="A560" s="31">
        <v>7</v>
      </c>
      <c r="B560" s="81" t="s">
        <v>533</v>
      </c>
      <c r="C560" s="31" t="s">
        <v>470</v>
      </c>
      <c r="D560" s="136"/>
      <c r="E560" s="104">
        <f>49000/1.1</f>
        <v>44545.454545454544</v>
      </c>
      <c r="F560" s="104"/>
      <c r="G560" s="168"/>
    </row>
    <row r="561" spans="1:7" s="169" customFormat="1">
      <c r="A561" s="55">
        <v>8</v>
      </c>
      <c r="B561" s="85" t="s">
        <v>534</v>
      </c>
      <c r="C561" s="55" t="s">
        <v>470</v>
      </c>
      <c r="D561" s="196"/>
      <c r="E561" s="140">
        <f>66000/1.1</f>
        <v>59999.999999999993</v>
      </c>
      <c r="F561" s="140"/>
      <c r="G561" s="168"/>
    </row>
    <row r="562" spans="1:7" s="169" customFormat="1" ht="15" customHeight="1">
      <c r="A562" s="34"/>
      <c r="B562" s="214" t="s">
        <v>535</v>
      </c>
      <c r="C562" s="214"/>
      <c r="D562" s="214"/>
      <c r="E562" s="214"/>
      <c r="F562" s="214"/>
      <c r="G562" s="168"/>
    </row>
    <row r="563" spans="1:7" s="169" customFormat="1" ht="30">
      <c r="A563" s="31">
        <v>1</v>
      </c>
      <c r="B563" s="6" t="s">
        <v>536</v>
      </c>
      <c r="C563" s="31" t="s">
        <v>404</v>
      </c>
      <c r="D563" s="136"/>
      <c r="E563" s="104">
        <f>122000/1.1</f>
        <v>110909.0909090909</v>
      </c>
      <c r="F563" s="104"/>
      <c r="G563" s="168"/>
    </row>
    <row r="564" spans="1:7" s="169" customFormat="1" ht="30">
      <c r="A564" s="31">
        <f>+A563+1</f>
        <v>2</v>
      </c>
      <c r="B564" s="6" t="s">
        <v>537</v>
      </c>
      <c r="C564" s="31" t="s">
        <v>404</v>
      </c>
      <c r="D564" s="136"/>
      <c r="E564" s="104">
        <f>117000/1.1</f>
        <v>106363.63636363635</v>
      </c>
      <c r="F564" s="104"/>
      <c r="G564" s="168"/>
    </row>
    <row r="565" spans="1:7" s="169" customFormat="1" ht="30">
      <c r="A565" s="32">
        <f>+A564+1</f>
        <v>3</v>
      </c>
      <c r="B565" s="7" t="s">
        <v>538</v>
      </c>
      <c r="C565" s="32" t="s">
        <v>404</v>
      </c>
      <c r="D565" s="137"/>
      <c r="E565" s="106">
        <f>137000/1.1</f>
        <v>124545.45454545453</v>
      </c>
      <c r="F565" s="106"/>
      <c r="G565" s="168"/>
    </row>
    <row r="566" spans="1:7" s="169" customFormat="1" ht="15" customHeight="1">
      <c r="A566" s="10"/>
      <c r="B566" s="214" t="s">
        <v>539</v>
      </c>
      <c r="C566" s="214"/>
      <c r="D566" s="214"/>
      <c r="E566" s="214"/>
      <c r="F566" s="214"/>
      <c r="G566" s="168"/>
    </row>
    <row r="567" spans="1:7" s="169" customFormat="1">
      <c r="A567" s="10"/>
      <c r="B567" s="6" t="s">
        <v>540</v>
      </c>
      <c r="C567" s="10"/>
      <c r="D567" s="105"/>
      <c r="E567" s="105"/>
      <c r="F567" s="105"/>
      <c r="G567" s="168"/>
    </row>
    <row r="568" spans="1:7" s="169" customFormat="1" ht="16.5">
      <c r="A568" s="10">
        <v>1</v>
      </c>
      <c r="B568" s="6" t="s">
        <v>541</v>
      </c>
      <c r="C568" s="10" t="s">
        <v>404</v>
      </c>
      <c r="D568" s="104"/>
      <c r="E568" s="104">
        <f>155000/1.1</f>
        <v>140909.09090909091</v>
      </c>
      <c r="F568" s="104"/>
      <c r="G568" s="168"/>
    </row>
    <row r="569" spans="1:7" s="169" customFormat="1" ht="16.5">
      <c r="A569" s="10">
        <f>+A568+1</f>
        <v>2</v>
      </c>
      <c r="B569" s="6" t="s">
        <v>542</v>
      </c>
      <c r="C569" s="10" t="s">
        <v>404</v>
      </c>
      <c r="D569" s="104"/>
      <c r="E569" s="104">
        <f>119000/1.1</f>
        <v>108181.81818181818</v>
      </c>
      <c r="F569" s="104"/>
      <c r="G569" s="168"/>
    </row>
    <row r="570" spans="1:7" s="169" customFormat="1" ht="16.5">
      <c r="A570" s="10">
        <f>+A569+1</f>
        <v>3</v>
      </c>
      <c r="B570" s="6" t="s">
        <v>543</v>
      </c>
      <c r="C570" s="10" t="s">
        <v>404</v>
      </c>
      <c r="D570" s="104"/>
      <c r="E570" s="104">
        <f>127000/1.1</f>
        <v>115454.54545454544</v>
      </c>
      <c r="F570" s="104"/>
      <c r="G570" s="168"/>
    </row>
    <row r="571" spans="1:7" s="169" customFormat="1" ht="16.5">
      <c r="A571" s="33">
        <f>+A570+1</f>
        <v>4</v>
      </c>
      <c r="B571" s="7" t="s">
        <v>544</v>
      </c>
      <c r="C571" s="33" t="s">
        <v>404</v>
      </c>
      <c r="D571" s="107"/>
      <c r="E571" s="106">
        <f>112000/1.1</f>
        <v>101818.18181818181</v>
      </c>
      <c r="F571" s="107"/>
      <c r="G571" s="168"/>
    </row>
    <row r="572" spans="1:7" s="169" customFormat="1" ht="24.6" customHeight="1">
      <c r="A572" s="56"/>
      <c r="B572" s="214" t="s">
        <v>545</v>
      </c>
      <c r="C572" s="214"/>
      <c r="D572" s="214"/>
      <c r="E572" s="214"/>
      <c r="F572" s="214"/>
      <c r="G572" s="168"/>
    </row>
    <row r="573" spans="1:7" s="169" customFormat="1" ht="43.5">
      <c r="A573" s="10"/>
      <c r="B573" s="81" t="s">
        <v>546</v>
      </c>
      <c r="C573" s="12"/>
      <c r="D573" s="104"/>
      <c r="E573" s="104"/>
      <c r="F573" s="104"/>
      <c r="G573" s="168"/>
    </row>
    <row r="574" spans="1:7" s="169" customFormat="1">
      <c r="A574" s="31">
        <v>1</v>
      </c>
      <c r="B574" s="6" t="s">
        <v>547</v>
      </c>
      <c r="C574" s="31" t="s">
        <v>548</v>
      </c>
      <c r="D574" s="104">
        <v>89091</v>
      </c>
      <c r="E574" s="104"/>
      <c r="F574" s="104"/>
      <c r="G574" s="168"/>
    </row>
    <row r="575" spans="1:7" s="169" customFormat="1">
      <c r="A575" s="31">
        <f>+A574+1</f>
        <v>2</v>
      </c>
      <c r="B575" s="6" t="s">
        <v>549</v>
      </c>
      <c r="C575" s="31" t="s">
        <v>548</v>
      </c>
      <c r="D575" s="104">
        <v>86364</v>
      </c>
      <c r="E575" s="104"/>
      <c r="F575" s="104"/>
      <c r="G575" s="168"/>
    </row>
    <row r="576" spans="1:7" s="169" customFormat="1" ht="16.5">
      <c r="A576" s="31"/>
      <c r="B576" s="6" t="s">
        <v>550</v>
      </c>
      <c r="C576" s="12"/>
      <c r="D576" s="104"/>
      <c r="E576" s="104"/>
      <c r="F576" s="104"/>
      <c r="G576" s="168"/>
    </row>
    <row r="577" spans="1:7" s="169" customFormat="1">
      <c r="A577" s="31">
        <f>+A575+1</f>
        <v>3</v>
      </c>
      <c r="B577" s="6" t="s">
        <v>547</v>
      </c>
      <c r="C577" s="31" t="s">
        <v>548</v>
      </c>
      <c r="D577" s="104">
        <v>87273</v>
      </c>
      <c r="E577" s="104"/>
      <c r="F577" s="104"/>
      <c r="G577" s="168"/>
    </row>
    <row r="578" spans="1:7" s="169" customFormat="1">
      <c r="A578" s="32">
        <f>+A577+1</f>
        <v>4</v>
      </c>
      <c r="B578" s="7" t="s">
        <v>549</v>
      </c>
      <c r="C578" s="32" t="s">
        <v>548</v>
      </c>
      <c r="D578" s="106">
        <v>84545</v>
      </c>
      <c r="E578" s="106"/>
      <c r="F578" s="106"/>
      <c r="G578" s="168"/>
    </row>
    <row r="579" spans="1:7" s="169" customFormat="1">
      <c r="A579" s="12"/>
      <c r="B579" s="6" t="s">
        <v>551</v>
      </c>
      <c r="C579" s="10"/>
      <c r="D579" s="105"/>
      <c r="E579" s="115"/>
      <c r="F579" s="115"/>
      <c r="G579" s="168"/>
    </row>
    <row r="580" spans="1:7" s="169" customFormat="1">
      <c r="A580" s="31">
        <f>+A578+1</f>
        <v>5</v>
      </c>
      <c r="B580" s="6" t="s">
        <v>547</v>
      </c>
      <c r="C580" s="10" t="s">
        <v>548</v>
      </c>
      <c r="D580" s="104">
        <v>95455</v>
      </c>
      <c r="E580" s="104"/>
      <c r="F580" s="104"/>
      <c r="G580" s="168"/>
    </row>
    <row r="581" spans="1:7" s="169" customFormat="1">
      <c r="A581" s="31">
        <f>+A580+1</f>
        <v>6</v>
      </c>
      <c r="B581" s="6" t="s">
        <v>549</v>
      </c>
      <c r="C581" s="10" t="s">
        <v>548</v>
      </c>
      <c r="D581" s="104">
        <v>90909</v>
      </c>
      <c r="E581" s="104"/>
      <c r="F581" s="104"/>
      <c r="G581" s="168"/>
    </row>
    <row r="582" spans="1:7" s="169" customFormat="1">
      <c r="A582" s="12"/>
      <c r="B582" s="6" t="s">
        <v>552</v>
      </c>
      <c r="C582" s="10"/>
      <c r="D582" s="104"/>
      <c r="E582" s="104"/>
      <c r="F582" s="104"/>
      <c r="G582" s="168"/>
    </row>
    <row r="583" spans="1:7" s="169" customFormat="1">
      <c r="A583" s="12">
        <f>+A581+1</f>
        <v>7</v>
      </c>
      <c r="B583" s="6" t="s">
        <v>547</v>
      </c>
      <c r="C583" s="10" t="s">
        <v>548</v>
      </c>
      <c r="D583" s="104">
        <v>97273</v>
      </c>
      <c r="E583" s="104"/>
      <c r="F583" s="104"/>
      <c r="G583" s="168"/>
    </row>
    <row r="584" spans="1:7" s="169" customFormat="1">
      <c r="A584" s="57">
        <f>+A583+1</f>
        <v>8</v>
      </c>
      <c r="B584" s="78" t="s">
        <v>549</v>
      </c>
      <c r="C584" s="38" t="s">
        <v>548</v>
      </c>
      <c r="D584" s="109">
        <v>92727</v>
      </c>
      <c r="E584" s="104"/>
      <c r="F584" s="104"/>
      <c r="G584" s="168"/>
    </row>
    <row r="585" spans="1:7" s="169" customFormat="1" ht="36.950000000000003" customHeight="1">
      <c r="A585" s="34"/>
      <c r="B585" s="214" t="s">
        <v>553</v>
      </c>
      <c r="C585" s="214"/>
      <c r="D585" s="214"/>
      <c r="E585" s="214"/>
      <c r="F585" s="214"/>
      <c r="G585" s="168"/>
    </row>
    <row r="586" spans="1:7" s="169" customFormat="1" ht="16.5">
      <c r="A586" s="31">
        <v>1</v>
      </c>
      <c r="B586" s="6" t="s">
        <v>554</v>
      </c>
      <c r="C586" s="31" t="s">
        <v>404</v>
      </c>
      <c r="D586" s="104"/>
      <c r="E586" s="104">
        <v>136500</v>
      </c>
      <c r="F586" s="104"/>
      <c r="G586" s="168"/>
    </row>
    <row r="587" spans="1:7" s="169" customFormat="1" ht="16.5">
      <c r="A587" s="31">
        <f>+A586+1</f>
        <v>2</v>
      </c>
      <c r="B587" s="6" t="s">
        <v>555</v>
      </c>
      <c r="C587" s="31" t="s">
        <v>404</v>
      </c>
      <c r="D587" s="104"/>
      <c r="E587" s="104">
        <v>131727</v>
      </c>
      <c r="F587" s="104"/>
      <c r="G587" s="168"/>
    </row>
    <row r="588" spans="1:7" s="169" customFormat="1" ht="16.5">
      <c r="A588" s="31">
        <f>+A587+1</f>
        <v>3</v>
      </c>
      <c r="B588" s="6" t="s">
        <v>556</v>
      </c>
      <c r="C588" s="31" t="s">
        <v>404</v>
      </c>
      <c r="D588" s="104"/>
      <c r="E588" s="104">
        <v>163227</v>
      </c>
      <c r="F588" s="104"/>
      <c r="G588" s="168"/>
    </row>
    <row r="589" spans="1:7" s="169" customFormat="1">
      <c r="A589" s="31"/>
      <c r="B589" s="6" t="s">
        <v>557</v>
      </c>
      <c r="C589" s="12"/>
      <c r="D589" s="104"/>
      <c r="E589" s="104"/>
      <c r="F589" s="104"/>
      <c r="G589" s="168"/>
    </row>
    <row r="590" spans="1:7" s="169" customFormat="1">
      <c r="A590" s="31">
        <f>+A588+1</f>
        <v>4</v>
      </c>
      <c r="B590" s="6" t="s">
        <v>558</v>
      </c>
      <c r="C590" s="31" t="s">
        <v>548</v>
      </c>
      <c r="D590" s="104"/>
      <c r="E590" s="104">
        <v>141273</v>
      </c>
      <c r="F590" s="104"/>
      <c r="G590" s="168"/>
    </row>
    <row r="591" spans="1:7" s="169" customFormat="1">
      <c r="A591" s="31">
        <f>+A590+1</f>
        <v>5</v>
      </c>
      <c r="B591" s="6" t="s">
        <v>559</v>
      </c>
      <c r="C591" s="31" t="s">
        <v>548</v>
      </c>
      <c r="D591" s="104"/>
      <c r="E591" s="104">
        <v>155591</v>
      </c>
      <c r="F591" s="104"/>
      <c r="G591" s="168"/>
    </row>
    <row r="592" spans="1:7" s="169" customFormat="1">
      <c r="A592" s="31"/>
      <c r="B592" s="6" t="s">
        <v>560</v>
      </c>
      <c r="C592" s="12"/>
      <c r="D592" s="104"/>
      <c r="E592" s="104"/>
      <c r="F592" s="104"/>
      <c r="G592" s="168"/>
    </row>
    <row r="593" spans="1:7" s="169" customFormat="1" ht="16.5">
      <c r="A593" s="31">
        <f>+A591+1</f>
        <v>6</v>
      </c>
      <c r="B593" s="6" t="s">
        <v>558</v>
      </c>
      <c r="C593" s="31" t="s">
        <v>404</v>
      </c>
      <c r="D593" s="104"/>
      <c r="E593" s="104">
        <v>131727</v>
      </c>
      <c r="F593" s="104"/>
      <c r="G593" s="168"/>
    </row>
    <row r="594" spans="1:7" s="169" customFormat="1" ht="16.5">
      <c r="A594" s="31">
        <f>+A593+1</f>
        <v>7</v>
      </c>
      <c r="B594" s="6" t="s">
        <v>559</v>
      </c>
      <c r="C594" s="31" t="s">
        <v>404</v>
      </c>
      <c r="D594" s="104"/>
      <c r="E594" s="104">
        <v>141273</v>
      </c>
      <c r="F594" s="104"/>
      <c r="G594" s="168"/>
    </row>
    <row r="595" spans="1:7" s="169" customFormat="1" ht="27">
      <c r="A595" s="31">
        <f>+A594+1</f>
        <v>8</v>
      </c>
      <c r="B595" s="6" t="s">
        <v>561</v>
      </c>
      <c r="C595" s="31" t="s">
        <v>404</v>
      </c>
      <c r="D595" s="104"/>
      <c r="E595" s="104">
        <v>214773</v>
      </c>
      <c r="F595" s="104"/>
      <c r="G595" s="168"/>
    </row>
    <row r="596" spans="1:7" s="169" customFormat="1">
      <c r="A596" s="31"/>
      <c r="B596" s="6" t="s">
        <v>562</v>
      </c>
      <c r="C596" s="12"/>
      <c r="D596" s="104"/>
      <c r="E596" s="104"/>
      <c r="F596" s="104"/>
      <c r="G596" s="168"/>
    </row>
    <row r="597" spans="1:7" s="169" customFormat="1" ht="16.5">
      <c r="A597" s="31">
        <f>+A595+1</f>
        <v>9</v>
      </c>
      <c r="B597" s="6" t="s">
        <v>558</v>
      </c>
      <c r="C597" s="31" t="s">
        <v>404</v>
      </c>
      <c r="D597" s="104"/>
      <c r="E597" s="104">
        <v>181364</v>
      </c>
      <c r="F597" s="104"/>
      <c r="G597" s="168"/>
    </row>
    <row r="598" spans="1:7" s="169" customFormat="1" ht="16.5">
      <c r="A598" s="31">
        <f>+A597+1</f>
        <v>10</v>
      </c>
      <c r="B598" s="6" t="s">
        <v>559</v>
      </c>
      <c r="C598" s="31" t="s">
        <v>404</v>
      </c>
      <c r="D598" s="104"/>
      <c r="E598" s="104">
        <v>252955</v>
      </c>
      <c r="F598" s="104"/>
      <c r="G598" s="168"/>
    </row>
    <row r="599" spans="1:7" s="169" customFormat="1">
      <c r="A599" s="31"/>
      <c r="B599" s="6" t="s">
        <v>563</v>
      </c>
      <c r="C599" s="12"/>
      <c r="D599" s="104"/>
      <c r="E599" s="104"/>
      <c r="F599" s="104"/>
      <c r="G599" s="168"/>
    </row>
    <row r="600" spans="1:7" s="169" customFormat="1" ht="16.5">
      <c r="A600" s="31">
        <f>+A598+1</f>
        <v>11</v>
      </c>
      <c r="B600" s="6" t="s">
        <v>558</v>
      </c>
      <c r="C600" s="31" t="s">
        <v>404</v>
      </c>
      <c r="D600" s="104"/>
      <c r="E600" s="104">
        <v>252955</v>
      </c>
      <c r="F600" s="104"/>
      <c r="G600" s="168"/>
    </row>
    <row r="601" spans="1:7" s="169" customFormat="1" ht="16.5">
      <c r="A601" s="34">
        <f>+A600+1</f>
        <v>12</v>
      </c>
      <c r="B601" s="77" t="s">
        <v>559</v>
      </c>
      <c r="C601" s="34" t="s">
        <v>404</v>
      </c>
      <c r="D601" s="108"/>
      <c r="E601" s="108">
        <v>310227</v>
      </c>
      <c r="F601" s="108"/>
      <c r="G601" s="168"/>
    </row>
    <row r="602" spans="1:7" s="169" customFormat="1" ht="16.5">
      <c r="A602" s="32">
        <f>+A601+1</f>
        <v>13</v>
      </c>
      <c r="B602" s="7" t="s">
        <v>564</v>
      </c>
      <c r="C602" s="32" t="s">
        <v>404</v>
      </c>
      <c r="D602" s="106"/>
      <c r="E602" s="106">
        <v>386591</v>
      </c>
      <c r="F602" s="106"/>
      <c r="G602" s="168"/>
    </row>
    <row r="603" spans="1:7" s="169" customFormat="1" ht="35.1" customHeight="1">
      <c r="A603" s="34"/>
      <c r="B603" s="214" t="s">
        <v>565</v>
      </c>
      <c r="C603" s="214"/>
      <c r="D603" s="214"/>
      <c r="E603" s="214"/>
      <c r="F603" s="214"/>
      <c r="G603" s="168"/>
    </row>
    <row r="604" spans="1:7" s="169" customFormat="1" ht="27">
      <c r="A604" s="31">
        <v>1</v>
      </c>
      <c r="B604" s="6" t="s">
        <v>566</v>
      </c>
      <c r="C604" s="31" t="s">
        <v>470</v>
      </c>
      <c r="D604" s="104"/>
      <c r="E604" s="104">
        <f>23000/1.1</f>
        <v>20909.090909090908</v>
      </c>
      <c r="F604" s="131"/>
      <c r="G604" s="168"/>
    </row>
    <row r="605" spans="1:7" s="169" customFormat="1">
      <c r="A605" s="31">
        <f t="shared" ref="A605:A610" si="21">+A604+1</f>
        <v>2</v>
      </c>
      <c r="B605" s="6" t="s">
        <v>567</v>
      </c>
      <c r="C605" s="31" t="s">
        <v>470</v>
      </c>
      <c r="D605" s="104"/>
      <c r="E605" s="104">
        <f>30000/1.1</f>
        <v>27272.727272727272</v>
      </c>
      <c r="F605" s="104"/>
      <c r="G605" s="168"/>
    </row>
    <row r="606" spans="1:7" s="169" customFormat="1" ht="16.5">
      <c r="A606" s="31">
        <f t="shared" si="21"/>
        <v>3</v>
      </c>
      <c r="B606" s="6" t="s">
        <v>568</v>
      </c>
      <c r="C606" s="31" t="s">
        <v>569</v>
      </c>
      <c r="D606" s="104"/>
      <c r="E606" s="104">
        <f>90000/1.1</f>
        <v>81818.181818181809</v>
      </c>
      <c r="F606" s="104"/>
      <c r="G606" s="168"/>
    </row>
    <row r="607" spans="1:7" s="169" customFormat="1" ht="30">
      <c r="A607" s="31">
        <f t="shared" si="21"/>
        <v>4</v>
      </c>
      <c r="B607" s="6" t="s">
        <v>570</v>
      </c>
      <c r="C607" s="31" t="s">
        <v>404</v>
      </c>
      <c r="D607" s="104"/>
      <c r="E607" s="104">
        <f>184000/1.1</f>
        <v>167272.72727272726</v>
      </c>
      <c r="F607" s="104"/>
      <c r="G607" s="168"/>
    </row>
    <row r="608" spans="1:7" s="169" customFormat="1" ht="30">
      <c r="A608" s="31">
        <f t="shared" si="21"/>
        <v>5</v>
      </c>
      <c r="B608" s="6" t="s">
        <v>571</v>
      </c>
      <c r="C608" s="31" t="s">
        <v>569</v>
      </c>
      <c r="D608" s="104"/>
      <c r="E608" s="104">
        <f>88000/1.1</f>
        <v>80000</v>
      </c>
      <c r="F608" s="104"/>
      <c r="G608" s="168"/>
    </row>
    <row r="609" spans="1:7" s="169" customFormat="1" ht="27">
      <c r="A609" s="31">
        <f t="shared" si="21"/>
        <v>6</v>
      </c>
      <c r="B609" s="77" t="s">
        <v>572</v>
      </c>
      <c r="C609" s="34" t="s">
        <v>569</v>
      </c>
      <c r="D609" s="108"/>
      <c r="E609" s="108">
        <f>104000/1.1</f>
        <v>94545.454545454544</v>
      </c>
      <c r="F609" s="108"/>
      <c r="G609" s="168"/>
    </row>
    <row r="610" spans="1:7" s="169" customFormat="1" ht="30">
      <c r="A610" s="39">
        <f t="shared" si="21"/>
        <v>7</v>
      </c>
      <c r="B610" s="78" t="s">
        <v>573</v>
      </c>
      <c r="C610" s="39" t="s">
        <v>404</v>
      </c>
      <c r="D610" s="109"/>
      <c r="E610" s="109">
        <f>150000/1.1</f>
        <v>136363.63636363635</v>
      </c>
      <c r="F610" s="109"/>
      <c r="G610" s="168"/>
    </row>
    <row r="611" spans="1:7" s="169" customFormat="1" ht="30.95" customHeight="1">
      <c r="A611" s="44"/>
      <c r="B611" s="214" t="s">
        <v>574</v>
      </c>
      <c r="C611" s="214"/>
      <c r="D611" s="214"/>
      <c r="E611" s="214"/>
      <c r="F611" s="214"/>
      <c r="G611" s="168"/>
    </row>
    <row r="612" spans="1:7" s="169" customFormat="1" ht="16.5">
      <c r="A612" s="54">
        <v>1</v>
      </c>
      <c r="B612" s="86" t="s">
        <v>575</v>
      </c>
      <c r="C612" s="58" t="s">
        <v>404</v>
      </c>
      <c r="D612" s="141"/>
      <c r="E612" s="104">
        <v>128000</v>
      </c>
      <c r="F612" s="104">
        <f>E612</f>
        <v>128000</v>
      </c>
      <c r="G612" s="168"/>
    </row>
    <row r="613" spans="1:7" s="169" customFormat="1" ht="16.5">
      <c r="A613" s="54">
        <f>+A612+1</f>
        <v>2</v>
      </c>
      <c r="B613" s="86" t="s">
        <v>576</v>
      </c>
      <c r="C613" s="58" t="s">
        <v>404</v>
      </c>
      <c r="D613" s="141"/>
      <c r="E613" s="104">
        <v>161818</v>
      </c>
      <c r="F613" s="104">
        <f>E613</f>
        <v>161818</v>
      </c>
      <c r="G613" s="168"/>
    </row>
    <row r="614" spans="1:7" s="169" customFormat="1" ht="16.5">
      <c r="A614" s="54">
        <f>+A613+1</f>
        <v>3</v>
      </c>
      <c r="B614" s="86" t="s">
        <v>577</v>
      </c>
      <c r="C614" s="58" t="s">
        <v>404</v>
      </c>
      <c r="D614" s="141"/>
      <c r="E614" s="104">
        <v>230909</v>
      </c>
      <c r="F614" s="104">
        <f>E614</f>
        <v>230909</v>
      </c>
      <c r="G614" s="168"/>
    </row>
    <row r="615" spans="1:7" s="169" customFormat="1" ht="16.5">
      <c r="A615" s="54">
        <f>+A614+1</f>
        <v>4</v>
      </c>
      <c r="B615" s="86" t="s">
        <v>578</v>
      </c>
      <c r="C615" s="58" t="s">
        <v>404</v>
      </c>
      <c r="D615" s="141"/>
      <c r="E615" s="104">
        <v>131818</v>
      </c>
      <c r="F615" s="104">
        <f>E615</f>
        <v>131818</v>
      </c>
      <c r="G615" s="168"/>
    </row>
    <row r="616" spans="1:7" s="169" customFormat="1" ht="16.5">
      <c r="A616" s="59">
        <f>+A615+1</f>
        <v>5</v>
      </c>
      <c r="B616" s="87" t="s">
        <v>579</v>
      </c>
      <c r="C616" s="60" t="s">
        <v>404</v>
      </c>
      <c r="D616" s="142"/>
      <c r="E616" s="109">
        <v>289090</v>
      </c>
      <c r="F616" s="109">
        <f>E616</f>
        <v>289090</v>
      </c>
      <c r="G616" s="168"/>
    </row>
    <row r="617" spans="1:7" s="169" customFormat="1" ht="15.75">
      <c r="A617" s="61"/>
      <c r="B617" s="197" t="s">
        <v>580</v>
      </c>
      <c r="C617" s="44"/>
      <c r="D617" s="115"/>
      <c r="E617" s="115"/>
      <c r="F617" s="115"/>
      <c r="G617" s="168"/>
    </row>
    <row r="618" spans="1:7" s="169" customFormat="1" ht="34.5" customHeight="1">
      <c r="A618" s="54"/>
      <c r="B618" s="214" t="s">
        <v>581</v>
      </c>
      <c r="C618" s="214"/>
      <c r="D618" s="214"/>
      <c r="E618" s="214"/>
      <c r="F618" s="214"/>
      <c r="G618" s="168"/>
    </row>
    <row r="619" spans="1:7" s="169" customFormat="1">
      <c r="A619" s="34">
        <v>1</v>
      </c>
      <c r="B619" s="81" t="s">
        <v>582</v>
      </c>
      <c r="C619" s="31" t="s">
        <v>470</v>
      </c>
      <c r="D619" s="104">
        <v>4091</v>
      </c>
      <c r="E619" s="104"/>
      <c r="F619" s="104"/>
      <c r="G619" s="168"/>
    </row>
    <row r="620" spans="1:7" s="169" customFormat="1">
      <c r="A620" s="34">
        <f t="shared" ref="A620:A625" si="22">+A619+1</f>
        <v>2</v>
      </c>
      <c r="B620" s="81" t="s">
        <v>583</v>
      </c>
      <c r="C620" s="31" t="s">
        <v>470</v>
      </c>
      <c r="D620" s="104">
        <v>2046</v>
      </c>
      <c r="E620" s="104"/>
      <c r="F620" s="104"/>
      <c r="G620" s="168"/>
    </row>
    <row r="621" spans="1:7" s="169" customFormat="1">
      <c r="A621" s="34">
        <f t="shared" si="22"/>
        <v>3</v>
      </c>
      <c r="B621" s="81" t="s">
        <v>584</v>
      </c>
      <c r="C621" s="31" t="s">
        <v>470</v>
      </c>
      <c r="D621" s="104">
        <v>891</v>
      </c>
      <c r="E621" s="104"/>
      <c r="F621" s="104"/>
      <c r="G621" s="168"/>
    </row>
    <row r="622" spans="1:7" s="169" customFormat="1">
      <c r="A622" s="34">
        <f t="shared" si="22"/>
        <v>4</v>
      </c>
      <c r="B622" s="81" t="s">
        <v>585</v>
      </c>
      <c r="C622" s="31" t="s">
        <v>470</v>
      </c>
      <c r="D622" s="104">
        <v>7727</v>
      </c>
      <c r="E622" s="104"/>
      <c r="F622" s="104"/>
      <c r="G622" s="168"/>
    </row>
    <row r="623" spans="1:7" s="169" customFormat="1">
      <c r="A623" s="34">
        <f t="shared" si="22"/>
        <v>5</v>
      </c>
      <c r="B623" s="81" t="s">
        <v>586</v>
      </c>
      <c r="C623" s="31" t="s">
        <v>470</v>
      </c>
      <c r="D623" s="104">
        <v>4182</v>
      </c>
      <c r="E623" s="104"/>
      <c r="F623" s="104"/>
      <c r="G623" s="168"/>
    </row>
    <row r="624" spans="1:7" s="169" customFormat="1">
      <c r="A624" s="34">
        <f t="shared" si="22"/>
        <v>6</v>
      </c>
      <c r="B624" s="81" t="s">
        <v>587</v>
      </c>
      <c r="C624" s="31" t="s">
        <v>470</v>
      </c>
      <c r="D624" s="104">
        <v>2091</v>
      </c>
      <c r="E624" s="104"/>
      <c r="F624" s="104"/>
      <c r="G624" s="168"/>
    </row>
    <row r="625" spans="1:7" s="169" customFormat="1">
      <c r="A625" s="34">
        <f t="shared" si="22"/>
        <v>7</v>
      </c>
      <c r="B625" s="82" t="s">
        <v>588</v>
      </c>
      <c r="C625" s="32" t="s">
        <v>470</v>
      </c>
      <c r="D625" s="106">
        <v>1000</v>
      </c>
      <c r="E625" s="106"/>
      <c r="F625" s="106"/>
      <c r="G625" s="168"/>
    </row>
    <row r="626" spans="1:7" s="169" customFormat="1" ht="39.6" customHeight="1">
      <c r="A626" s="45"/>
      <c r="B626" s="214" t="s">
        <v>589</v>
      </c>
      <c r="C626" s="214"/>
      <c r="D626" s="214"/>
      <c r="E626" s="214"/>
      <c r="F626" s="214"/>
      <c r="G626" s="168"/>
    </row>
    <row r="627" spans="1:7" s="169" customFormat="1">
      <c r="A627" s="34">
        <v>1</v>
      </c>
      <c r="B627" s="198" t="s">
        <v>590</v>
      </c>
      <c r="C627" s="12" t="s">
        <v>470</v>
      </c>
      <c r="D627" s="104">
        <v>950</v>
      </c>
      <c r="E627" s="104"/>
      <c r="F627" s="104"/>
      <c r="G627" s="168"/>
    </row>
    <row r="628" spans="1:7" s="169" customFormat="1">
      <c r="A628" s="34">
        <f t="shared" ref="A628:A633" si="23">+A627+1</f>
        <v>2</v>
      </c>
      <c r="B628" s="198" t="s">
        <v>591</v>
      </c>
      <c r="C628" s="12" t="s">
        <v>470</v>
      </c>
      <c r="D628" s="104">
        <v>1000</v>
      </c>
      <c r="E628" s="104"/>
      <c r="F628" s="104"/>
      <c r="G628" s="168"/>
    </row>
    <row r="629" spans="1:7" s="169" customFormat="1">
      <c r="A629" s="34">
        <f t="shared" si="23"/>
        <v>3</v>
      </c>
      <c r="B629" s="198" t="s">
        <v>592</v>
      </c>
      <c r="C629" s="12" t="s">
        <v>470</v>
      </c>
      <c r="D629" s="104">
        <v>1100</v>
      </c>
      <c r="E629" s="104"/>
      <c r="F629" s="104"/>
      <c r="G629" s="168"/>
    </row>
    <row r="630" spans="1:7" s="169" customFormat="1">
      <c r="A630" s="34">
        <f t="shared" si="23"/>
        <v>4</v>
      </c>
      <c r="B630" s="198" t="s">
        <v>593</v>
      </c>
      <c r="C630" s="12" t="s">
        <v>470</v>
      </c>
      <c r="D630" s="104">
        <v>1150</v>
      </c>
      <c r="E630" s="104"/>
      <c r="F630" s="104"/>
      <c r="G630" s="168"/>
    </row>
    <row r="631" spans="1:7" s="169" customFormat="1">
      <c r="A631" s="34">
        <f t="shared" si="23"/>
        <v>5</v>
      </c>
      <c r="B631" s="198" t="s">
        <v>594</v>
      </c>
      <c r="C631" s="12" t="s">
        <v>470</v>
      </c>
      <c r="D631" s="104">
        <v>1150</v>
      </c>
      <c r="E631" s="104"/>
      <c r="F631" s="104"/>
      <c r="G631" s="168"/>
    </row>
    <row r="632" spans="1:7" s="169" customFormat="1">
      <c r="A632" s="31">
        <f t="shared" si="23"/>
        <v>6</v>
      </c>
      <c r="B632" s="81" t="s">
        <v>595</v>
      </c>
      <c r="C632" s="12" t="s">
        <v>470</v>
      </c>
      <c r="D632" s="104">
        <v>4600</v>
      </c>
      <c r="E632" s="104"/>
      <c r="F632" s="104"/>
      <c r="G632" s="168"/>
    </row>
    <row r="633" spans="1:7" s="169" customFormat="1">
      <c r="A633" s="62">
        <f t="shared" si="23"/>
        <v>7</v>
      </c>
      <c r="B633" s="82" t="s">
        <v>596</v>
      </c>
      <c r="C633" s="52" t="s">
        <v>470</v>
      </c>
      <c r="D633" s="106">
        <v>8600</v>
      </c>
      <c r="E633" s="106"/>
      <c r="F633" s="106"/>
      <c r="G633" s="168"/>
    </row>
    <row r="634" spans="1:7" s="169" customFormat="1" ht="36.6" customHeight="1">
      <c r="A634" s="61"/>
      <c r="B634" s="214" t="s">
        <v>597</v>
      </c>
      <c r="C634" s="214"/>
      <c r="D634" s="214"/>
      <c r="E634" s="214"/>
      <c r="F634" s="214"/>
      <c r="G634" s="168"/>
    </row>
    <row r="635" spans="1:7" s="169" customFormat="1">
      <c r="A635" s="34">
        <v>1</v>
      </c>
      <c r="B635" s="6" t="s">
        <v>598</v>
      </c>
      <c r="C635" s="31" t="s">
        <v>470</v>
      </c>
      <c r="D635" s="104">
        <v>8500</v>
      </c>
      <c r="E635" s="104"/>
      <c r="F635" s="104"/>
      <c r="G635" s="168"/>
    </row>
    <row r="636" spans="1:7" s="169" customFormat="1">
      <c r="A636" s="34">
        <f>+A635+1</f>
        <v>2</v>
      </c>
      <c r="B636" s="6" t="s">
        <v>599</v>
      </c>
      <c r="C636" s="10" t="s">
        <v>470</v>
      </c>
      <c r="D636" s="104">
        <v>4500</v>
      </c>
      <c r="E636" s="105"/>
      <c r="F636" s="105"/>
      <c r="G636" s="168"/>
    </row>
    <row r="637" spans="1:7" s="169" customFormat="1">
      <c r="A637" s="32">
        <f>+A636+1</f>
        <v>3</v>
      </c>
      <c r="B637" s="7" t="s">
        <v>600</v>
      </c>
      <c r="C637" s="32" t="s">
        <v>470</v>
      </c>
      <c r="D637" s="106">
        <v>1050</v>
      </c>
      <c r="E637" s="106"/>
      <c r="F637" s="106"/>
      <c r="G637" s="168"/>
    </row>
    <row r="638" spans="1:7" s="169" customFormat="1" ht="43.5" customHeight="1">
      <c r="A638" s="34"/>
      <c r="B638" s="214" t="s">
        <v>601</v>
      </c>
      <c r="C638" s="214"/>
      <c r="D638" s="214"/>
      <c r="E638" s="214"/>
      <c r="F638" s="214"/>
      <c r="G638" s="168"/>
    </row>
    <row r="639" spans="1:7" s="169" customFormat="1" ht="27">
      <c r="A639" s="34">
        <v>1</v>
      </c>
      <c r="B639" s="81" t="s">
        <v>602</v>
      </c>
      <c r="C639" s="31" t="s">
        <v>66</v>
      </c>
      <c r="D639" s="104">
        <f>1600000/1.1</f>
        <v>1454545.4545454544</v>
      </c>
      <c r="E639" s="104"/>
      <c r="F639" s="104"/>
      <c r="G639" s="168"/>
    </row>
    <row r="640" spans="1:7" s="169" customFormat="1" ht="27">
      <c r="A640" s="34">
        <f>+A639+1</f>
        <v>2</v>
      </c>
      <c r="B640" s="81" t="s">
        <v>603</v>
      </c>
      <c r="C640" s="31" t="s">
        <v>66</v>
      </c>
      <c r="D640" s="104">
        <f>1500000/1.1</f>
        <v>1363636.3636363635</v>
      </c>
      <c r="E640" s="104"/>
      <c r="F640" s="104"/>
      <c r="G640" s="168"/>
    </row>
    <row r="641" spans="1:7" s="169" customFormat="1">
      <c r="A641" s="32">
        <f>+A640+1</f>
        <v>3</v>
      </c>
      <c r="B641" s="82" t="s">
        <v>604</v>
      </c>
      <c r="C641" s="32" t="s">
        <v>244</v>
      </c>
      <c r="D641" s="106">
        <f>175000/1.1</f>
        <v>159090.90909090909</v>
      </c>
      <c r="E641" s="106"/>
      <c r="F641" s="106"/>
      <c r="G641" s="168"/>
    </row>
    <row r="642" spans="1:7" s="169" customFormat="1" ht="15" customHeight="1">
      <c r="A642" s="34"/>
      <c r="B642" s="214" t="s">
        <v>605</v>
      </c>
      <c r="C642" s="214"/>
      <c r="D642" s="214"/>
      <c r="E642" s="214"/>
      <c r="F642" s="214"/>
      <c r="G642" s="168"/>
    </row>
    <row r="643" spans="1:7" s="169" customFormat="1">
      <c r="A643" s="31">
        <v>1</v>
      </c>
      <c r="B643" s="6" t="s">
        <v>606</v>
      </c>
      <c r="C643" s="10"/>
      <c r="D643" s="143"/>
      <c r="E643" s="104"/>
      <c r="F643" s="104"/>
      <c r="G643" s="168"/>
    </row>
    <row r="644" spans="1:7" s="169" customFormat="1">
      <c r="A644" s="31">
        <f t="shared" ref="A644:A654" si="24">+A643+1</f>
        <v>2</v>
      </c>
      <c r="B644" s="22" t="s">
        <v>607</v>
      </c>
      <c r="C644" s="10" t="s">
        <v>470</v>
      </c>
      <c r="D644" s="104">
        <v>12500</v>
      </c>
      <c r="E644" s="104">
        <v>18500</v>
      </c>
      <c r="F644" s="104"/>
      <c r="G644" s="168"/>
    </row>
    <row r="645" spans="1:7" s="169" customFormat="1">
      <c r="A645" s="31">
        <f t="shared" si="24"/>
        <v>3</v>
      </c>
      <c r="B645" s="22" t="s">
        <v>608</v>
      </c>
      <c r="C645" s="10" t="s">
        <v>470</v>
      </c>
      <c r="D645" s="104">
        <v>17000</v>
      </c>
      <c r="E645" s="104">
        <v>25000</v>
      </c>
      <c r="F645" s="104"/>
      <c r="G645" s="168"/>
    </row>
    <row r="646" spans="1:7" s="169" customFormat="1">
      <c r="A646" s="31">
        <f t="shared" si="24"/>
        <v>4</v>
      </c>
      <c r="B646" s="22" t="s">
        <v>609</v>
      </c>
      <c r="C646" s="10" t="s">
        <v>470</v>
      </c>
      <c r="D646" s="104">
        <v>21000</v>
      </c>
      <c r="E646" s="104">
        <v>31000</v>
      </c>
      <c r="F646" s="104"/>
      <c r="G646" s="168"/>
    </row>
    <row r="647" spans="1:7" s="169" customFormat="1">
      <c r="A647" s="31">
        <f t="shared" si="24"/>
        <v>5</v>
      </c>
      <c r="B647" s="6" t="s">
        <v>610</v>
      </c>
      <c r="C647" s="10" t="s">
        <v>470</v>
      </c>
      <c r="D647" s="104">
        <v>33000</v>
      </c>
      <c r="E647" s="104">
        <v>49000</v>
      </c>
      <c r="F647" s="104"/>
      <c r="G647" s="168"/>
    </row>
    <row r="648" spans="1:7" s="169" customFormat="1">
      <c r="A648" s="31">
        <f t="shared" si="24"/>
        <v>6</v>
      </c>
      <c r="B648" s="22" t="s">
        <v>611</v>
      </c>
      <c r="C648" s="10" t="s">
        <v>470</v>
      </c>
      <c r="D648" s="104">
        <v>13500</v>
      </c>
      <c r="E648" s="104">
        <v>19500</v>
      </c>
      <c r="F648" s="104"/>
      <c r="G648" s="168"/>
    </row>
    <row r="649" spans="1:7" s="169" customFormat="1">
      <c r="A649" s="31">
        <f t="shared" si="24"/>
        <v>7</v>
      </c>
      <c r="B649" s="22" t="s">
        <v>612</v>
      </c>
      <c r="C649" s="10" t="s">
        <v>470</v>
      </c>
      <c r="D649" s="104">
        <v>18000</v>
      </c>
      <c r="E649" s="104">
        <v>26000</v>
      </c>
      <c r="F649" s="104"/>
      <c r="G649" s="168"/>
    </row>
    <row r="650" spans="1:7" s="169" customFormat="1">
      <c r="A650" s="31">
        <f t="shared" si="24"/>
        <v>8</v>
      </c>
      <c r="B650" s="22" t="s">
        <v>613</v>
      </c>
      <c r="C650" s="10" t="s">
        <v>470</v>
      </c>
      <c r="D650" s="104">
        <v>22000</v>
      </c>
      <c r="E650" s="104">
        <v>32000</v>
      </c>
      <c r="F650" s="104"/>
      <c r="G650" s="168"/>
    </row>
    <row r="651" spans="1:7" s="169" customFormat="1">
      <c r="A651" s="31">
        <f t="shared" si="24"/>
        <v>9</v>
      </c>
      <c r="B651" s="81" t="s">
        <v>614</v>
      </c>
      <c r="C651" s="31" t="s">
        <v>470</v>
      </c>
      <c r="D651" s="104">
        <v>34000</v>
      </c>
      <c r="E651" s="104">
        <v>50000</v>
      </c>
      <c r="F651" s="104"/>
      <c r="G651" s="168"/>
    </row>
    <row r="652" spans="1:7" s="169" customFormat="1">
      <c r="A652" s="31">
        <f t="shared" si="24"/>
        <v>10</v>
      </c>
      <c r="B652" s="81" t="s">
        <v>615</v>
      </c>
      <c r="C652" s="31" t="s">
        <v>244</v>
      </c>
      <c r="D652" s="104">
        <v>180000</v>
      </c>
      <c r="E652" s="104">
        <v>200000</v>
      </c>
      <c r="F652" s="104"/>
      <c r="G652" s="168"/>
    </row>
    <row r="653" spans="1:7" s="169" customFormat="1">
      <c r="A653" s="31">
        <f t="shared" si="24"/>
        <v>11</v>
      </c>
      <c r="B653" s="81" t="s">
        <v>616</v>
      </c>
      <c r="C653" s="31" t="s">
        <v>244</v>
      </c>
      <c r="D653" s="104">
        <v>175000</v>
      </c>
      <c r="E653" s="104">
        <v>195000</v>
      </c>
      <c r="F653" s="104"/>
      <c r="G653" s="168"/>
    </row>
    <row r="654" spans="1:7" s="169" customFormat="1">
      <c r="A654" s="39">
        <f t="shared" si="24"/>
        <v>12</v>
      </c>
      <c r="B654" s="80" t="s">
        <v>617</v>
      </c>
      <c r="C654" s="38" t="s">
        <v>244</v>
      </c>
      <c r="D654" s="121">
        <v>175000</v>
      </c>
      <c r="E654" s="109">
        <v>195000</v>
      </c>
      <c r="F654" s="121"/>
      <c r="G654" s="168"/>
    </row>
    <row r="655" spans="1:7" s="169" customFormat="1" ht="36.6" customHeight="1">
      <c r="A655" s="40"/>
      <c r="B655" s="214" t="s">
        <v>618</v>
      </c>
      <c r="C655" s="214"/>
      <c r="D655" s="214"/>
      <c r="E655" s="214"/>
      <c r="F655" s="214"/>
      <c r="G655" s="168"/>
    </row>
    <row r="656" spans="1:7" s="169" customFormat="1">
      <c r="A656" s="31"/>
      <c r="B656" s="6" t="s">
        <v>619</v>
      </c>
      <c r="C656" s="10"/>
      <c r="D656" s="143"/>
      <c r="E656" s="104"/>
      <c r="F656" s="104"/>
      <c r="G656" s="168"/>
    </row>
    <row r="657" spans="1:7" s="169" customFormat="1">
      <c r="A657" s="31">
        <v>1</v>
      </c>
      <c r="B657" s="22" t="s">
        <v>620</v>
      </c>
      <c r="C657" s="10" t="s">
        <v>470</v>
      </c>
      <c r="D657" s="104"/>
      <c r="E657" s="104">
        <f>16830/1.1</f>
        <v>15299.999999999998</v>
      </c>
      <c r="F657" s="104"/>
      <c r="G657" s="168"/>
    </row>
    <row r="658" spans="1:7" s="169" customFormat="1">
      <c r="A658" s="31">
        <f>+A657+1</f>
        <v>2</v>
      </c>
      <c r="B658" s="22" t="s">
        <v>621</v>
      </c>
      <c r="C658" s="10" t="s">
        <v>470</v>
      </c>
      <c r="D658" s="104"/>
      <c r="E658" s="104">
        <f>19800/1.1</f>
        <v>18000</v>
      </c>
      <c r="F658" s="104"/>
      <c r="G658" s="168"/>
    </row>
    <row r="659" spans="1:7" s="169" customFormat="1">
      <c r="A659" s="31">
        <f t="shared" ref="A659:A669" si="25">+A658+1</f>
        <v>3</v>
      </c>
      <c r="B659" s="22" t="s">
        <v>622</v>
      </c>
      <c r="C659" s="10" t="s">
        <v>470</v>
      </c>
      <c r="D659" s="104"/>
      <c r="E659" s="104">
        <f>29700/1.1</f>
        <v>26999.999999999996</v>
      </c>
      <c r="F659" s="104"/>
      <c r="G659" s="168"/>
    </row>
    <row r="660" spans="1:7" s="169" customFormat="1">
      <c r="A660" s="31">
        <f t="shared" si="25"/>
        <v>4</v>
      </c>
      <c r="B660" s="6" t="s">
        <v>623</v>
      </c>
      <c r="C660" s="10" t="s">
        <v>470</v>
      </c>
      <c r="D660" s="104"/>
      <c r="E660" s="104">
        <f>39599/1.1</f>
        <v>35999.090909090904</v>
      </c>
      <c r="F660" s="104"/>
      <c r="G660" s="168"/>
    </row>
    <row r="661" spans="1:7" s="169" customFormat="1">
      <c r="A661" s="31"/>
      <c r="B661" s="6" t="s">
        <v>624</v>
      </c>
      <c r="C661" s="10"/>
      <c r="D661" s="104"/>
      <c r="E661" s="104"/>
      <c r="F661" s="104"/>
      <c r="G661" s="168"/>
    </row>
    <row r="662" spans="1:7" s="169" customFormat="1">
      <c r="A662" s="31">
        <f>+A660+1</f>
        <v>5</v>
      </c>
      <c r="B662" s="22" t="s">
        <v>620</v>
      </c>
      <c r="C662" s="10" t="s">
        <v>470</v>
      </c>
      <c r="D662" s="104"/>
      <c r="E662" s="104">
        <f>17850/1.1</f>
        <v>16227.272727272726</v>
      </c>
      <c r="F662" s="104"/>
      <c r="G662" s="168"/>
    </row>
    <row r="663" spans="1:7" s="169" customFormat="1">
      <c r="A663" s="31">
        <f t="shared" si="25"/>
        <v>6</v>
      </c>
      <c r="B663" s="22" t="s">
        <v>621</v>
      </c>
      <c r="C663" s="10" t="s">
        <v>470</v>
      </c>
      <c r="D663" s="104"/>
      <c r="E663" s="104">
        <f>21000/1.1</f>
        <v>19090.909090909088</v>
      </c>
      <c r="F663" s="104"/>
      <c r="G663" s="168"/>
    </row>
    <row r="664" spans="1:7" s="169" customFormat="1">
      <c r="A664" s="31">
        <f t="shared" si="25"/>
        <v>7</v>
      </c>
      <c r="B664" s="22" t="s">
        <v>622</v>
      </c>
      <c r="C664" s="10" t="s">
        <v>470</v>
      </c>
      <c r="D664" s="104"/>
      <c r="E664" s="104">
        <f>31500/1.1</f>
        <v>28636.363636363632</v>
      </c>
      <c r="F664" s="104"/>
      <c r="G664" s="168"/>
    </row>
    <row r="665" spans="1:7" s="169" customFormat="1">
      <c r="A665" s="31">
        <f t="shared" si="25"/>
        <v>8</v>
      </c>
      <c r="B665" s="22" t="s">
        <v>623</v>
      </c>
      <c r="C665" s="10" t="s">
        <v>470</v>
      </c>
      <c r="D665" s="104"/>
      <c r="E665" s="104">
        <f>41999/1.1</f>
        <v>38180.909090909088</v>
      </c>
      <c r="F665" s="104"/>
      <c r="G665" s="168"/>
    </row>
    <row r="666" spans="1:7" s="169" customFormat="1">
      <c r="A666" s="31"/>
      <c r="B666" s="6" t="s">
        <v>625</v>
      </c>
      <c r="C666" s="10"/>
      <c r="D666" s="104"/>
      <c r="E666" s="104"/>
      <c r="F666" s="104"/>
      <c r="G666" s="168"/>
    </row>
    <row r="667" spans="1:7" s="169" customFormat="1">
      <c r="A667" s="31">
        <f>+A665+1</f>
        <v>9</v>
      </c>
      <c r="B667" s="22" t="s">
        <v>620</v>
      </c>
      <c r="C667" s="10" t="s">
        <v>470</v>
      </c>
      <c r="D667" s="104"/>
      <c r="E667" s="104">
        <f>18870/1.1</f>
        <v>17154.545454545452</v>
      </c>
      <c r="F667" s="104"/>
      <c r="G667" s="168"/>
    </row>
    <row r="668" spans="1:7" s="169" customFormat="1">
      <c r="A668" s="31">
        <f t="shared" si="25"/>
        <v>10</v>
      </c>
      <c r="B668" s="22" t="s">
        <v>621</v>
      </c>
      <c r="C668" s="10" t="s">
        <v>470</v>
      </c>
      <c r="D668" s="104"/>
      <c r="E668" s="104">
        <f>22200/1.1</f>
        <v>20181.81818181818</v>
      </c>
      <c r="F668" s="104"/>
      <c r="G668" s="168"/>
    </row>
    <row r="669" spans="1:7" s="169" customFormat="1">
      <c r="A669" s="31">
        <f t="shared" si="25"/>
        <v>11</v>
      </c>
      <c r="B669" s="22" t="s">
        <v>622</v>
      </c>
      <c r="C669" s="10" t="s">
        <v>470</v>
      </c>
      <c r="D669" s="104"/>
      <c r="E669" s="104">
        <f>33300/1.1</f>
        <v>30272.727272727272</v>
      </c>
      <c r="F669" s="104"/>
      <c r="G669" s="168"/>
    </row>
    <row r="670" spans="1:7" s="169" customFormat="1">
      <c r="A670" s="31">
        <f>+A667+1</f>
        <v>10</v>
      </c>
      <c r="B670" s="22" t="s">
        <v>623</v>
      </c>
      <c r="C670" s="10" t="s">
        <v>470</v>
      </c>
      <c r="D670" s="104"/>
      <c r="E670" s="104">
        <f>44399/1.1</f>
        <v>40362.727272727272</v>
      </c>
      <c r="F670" s="104"/>
      <c r="G670" s="168"/>
    </row>
    <row r="671" spans="1:7" s="169" customFormat="1">
      <c r="A671" s="34">
        <f>+A668+1</f>
        <v>11</v>
      </c>
      <c r="B671" s="88" t="s">
        <v>626</v>
      </c>
      <c r="C671" s="36" t="s">
        <v>78</v>
      </c>
      <c r="D671" s="108"/>
      <c r="E671" s="104">
        <f>101500/1.1/25</f>
        <v>3690.9090909090905</v>
      </c>
      <c r="F671" s="112"/>
      <c r="G671" s="168"/>
    </row>
    <row r="672" spans="1:7" s="169" customFormat="1">
      <c r="A672" s="31">
        <f>+A669+1</f>
        <v>12</v>
      </c>
      <c r="B672" s="22" t="s">
        <v>627</v>
      </c>
      <c r="C672" s="36" t="s">
        <v>78</v>
      </c>
      <c r="D672" s="104"/>
      <c r="E672" s="104">
        <f>81500/1.1/25</f>
        <v>2963.6363636363635</v>
      </c>
      <c r="F672" s="105"/>
      <c r="G672" s="168"/>
    </row>
    <row r="673" spans="1:7" s="169" customFormat="1">
      <c r="A673" s="39">
        <f>+A670+1</f>
        <v>11</v>
      </c>
      <c r="B673" s="89" t="s">
        <v>628</v>
      </c>
      <c r="C673" s="38" t="s">
        <v>78</v>
      </c>
      <c r="D673" s="109"/>
      <c r="E673" s="104">
        <f>106500/1.1/25</f>
        <v>3872.7272727272725</v>
      </c>
      <c r="F673" s="117"/>
      <c r="G673" s="168"/>
    </row>
    <row r="674" spans="1:7" s="169" customFormat="1" ht="35.450000000000003" customHeight="1">
      <c r="A674" s="40"/>
      <c r="B674" s="214" t="s">
        <v>629</v>
      </c>
      <c r="C674" s="214"/>
      <c r="D674" s="214"/>
      <c r="E674" s="214"/>
      <c r="F674" s="214"/>
      <c r="G674" s="168"/>
    </row>
    <row r="675" spans="1:7" s="169" customFormat="1">
      <c r="A675" s="53"/>
      <c r="B675" s="88" t="s">
        <v>630</v>
      </c>
      <c r="C675" s="64"/>
      <c r="D675" s="115"/>
      <c r="E675" s="108"/>
      <c r="F675" s="116"/>
      <c r="G675" s="168"/>
    </row>
    <row r="676" spans="1:7" s="169" customFormat="1">
      <c r="A676" s="53">
        <f>+A675+1</f>
        <v>1</v>
      </c>
      <c r="B676" s="22" t="s">
        <v>631</v>
      </c>
      <c r="C676" s="53" t="s">
        <v>632</v>
      </c>
      <c r="D676" s="104">
        <v>17000</v>
      </c>
      <c r="E676" s="104">
        <v>25000</v>
      </c>
      <c r="F676" s="104"/>
      <c r="G676" s="168"/>
    </row>
    <row r="677" spans="1:7" s="169" customFormat="1">
      <c r="A677" s="53">
        <f>+A676+1</f>
        <v>2</v>
      </c>
      <c r="B677" s="22" t="s">
        <v>633</v>
      </c>
      <c r="C677" s="53" t="s">
        <v>632</v>
      </c>
      <c r="D677" s="104">
        <v>25500</v>
      </c>
      <c r="E677" s="104">
        <v>31000</v>
      </c>
      <c r="F677" s="104"/>
      <c r="G677" s="168"/>
    </row>
    <row r="678" spans="1:7" s="169" customFormat="1">
      <c r="A678" s="53">
        <f>+A677+1</f>
        <v>3</v>
      </c>
      <c r="B678" s="22" t="s">
        <v>634</v>
      </c>
      <c r="C678" s="53" t="s">
        <v>632</v>
      </c>
      <c r="D678" s="104">
        <v>34000</v>
      </c>
      <c r="E678" s="104">
        <v>49000</v>
      </c>
      <c r="F678" s="104"/>
      <c r="G678" s="168"/>
    </row>
    <row r="679" spans="1:7" s="169" customFormat="1">
      <c r="A679" s="53">
        <f>+A678+1</f>
        <v>4</v>
      </c>
      <c r="B679" s="22" t="s">
        <v>635</v>
      </c>
      <c r="C679" s="53" t="s">
        <v>244</v>
      </c>
      <c r="D679" s="104">
        <v>180000</v>
      </c>
      <c r="E679" s="104">
        <v>200000</v>
      </c>
      <c r="F679" s="104"/>
      <c r="G679" s="168"/>
    </row>
    <row r="680" spans="1:7" s="169" customFormat="1">
      <c r="A680" s="65">
        <f>+A679+1</f>
        <v>5</v>
      </c>
      <c r="B680" s="89" t="s">
        <v>636</v>
      </c>
      <c r="C680" s="65" t="s">
        <v>244</v>
      </c>
      <c r="D680" s="109">
        <v>175000</v>
      </c>
      <c r="E680" s="109">
        <v>195000</v>
      </c>
      <c r="F680" s="109"/>
      <c r="G680" s="168"/>
    </row>
    <row r="681" spans="1:7" s="169" customFormat="1" ht="32.450000000000003" customHeight="1">
      <c r="A681" s="44"/>
      <c r="B681" s="214" t="s">
        <v>637</v>
      </c>
      <c r="C681" s="214"/>
      <c r="D681" s="214"/>
      <c r="E681" s="214"/>
      <c r="F681" s="214"/>
      <c r="G681" s="168"/>
    </row>
    <row r="682" spans="1:7" s="169" customFormat="1">
      <c r="A682" s="53">
        <v>1</v>
      </c>
      <c r="B682" s="6" t="s">
        <v>638</v>
      </c>
      <c r="C682" s="53" t="s">
        <v>632</v>
      </c>
      <c r="D682" s="104">
        <f>21900/1.1</f>
        <v>19909.090909090908</v>
      </c>
      <c r="E682" s="144"/>
      <c r="F682" s="144"/>
      <c r="G682" s="168"/>
    </row>
    <row r="683" spans="1:7" s="169" customFormat="1">
      <c r="A683" s="53">
        <v>2</v>
      </c>
      <c r="B683" s="6" t="s">
        <v>639</v>
      </c>
      <c r="C683" s="53" t="s">
        <v>632</v>
      </c>
      <c r="D683" s="104">
        <f>19900/1.1</f>
        <v>18090.909090909088</v>
      </c>
      <c r="E683" s="144"/>
      <c r="F683" s="144"/>
      <c r="G683" s="168"/>
    </row>
    <row r="684" spans="1:7" s="169" customFormat="1">
      <c r="A684" s="53">
        <v>3</v>
      </c>
      <c r="B684" s="6" t="s">
        <v>640</v>
      </c>
      <c r="C684" s="53" t="s">
        <v>632</v>
      </c>
      <c r="D684" s="104">
        <f>7000/1.1</f>
        <v>6363.6363636363631</v>
      </c>
      <c r="E684" s="144"/>
      <c r="F684" s="144"/>
      <c r="G684" s="168"/>
    </row>
    <row r="685" spans="1:7" s="169" customFormat="1">
      <c r="A685" s="53">
        <v>4</v>
      </c>
      <c r="B685" s="6" t="s">
        <v>641</v>
      </c>
      <c r="C685" s="53" t="s">
        <v>632</v>
      </c>
      <c r="D685" s="104">
        <f>6400/1.1</f>
        <v>5818.181818181818</v>
      </c>
      <c r="E685" s="144"/>
      <c r="F685" s="144"/>
      <c r="G685" s="168"/>
    </row>
    <row r="686" spans="1:7" s="169" customFormat="1">
      <c r="A686" s="53">
        <v>5</v>
      </c>
      <c r="B686" s="6" t="s">
        <v>642</v>
      </c>
      <c r="C686" s="53" t="s">
        <v>632</v>
      </c>
      <c r="D686" s="104">
        <f>9650/1.1</f>
        <v>8772.7272727272721</v>
      </c>
      <c r="E686" s="144"/>
      <c r="F686" s="144"/>
      <c r="G686" s="168"/>
    </row>
    <row r="687" spans="1:7" s="169" customFormat="1">
      <c r="A687" s="53">
        <v>6</v>
      </c>
      <c r="B687" s="6" t="s">
        <v>642</v>
      </c>
      <c r="C687" s="53" t="s">
        <v>632</v>
      </c>
      <c r="D687" s="104">
        <f>8650/1.1</f>
        <v>7863.6363636363631</v>
      </c>
      <c r="E687" s="144"/>
      <c r="F687" s="144"/>
      <c r="G687" s="168"/>
    </row>
    <row r="688" spans="1:7" s="169" customFormat="1">
      <c r="A688" s="53">
        <v>7</v>
      </c>
      <c r="B688" s="6" t="s">
        <v>643</v>
      </c>
      <c r="C688" s="53" t="s">
        <v>632</v>
      </c>
      <c r="D688" s="104">
        <f>5800/1.1</f>
        <v>5272.7272727272721</v>
      </c>
      <c r="E688" s="144"/>
      <c r="F688" s="144"/>
      <c r="G688" s="168"/>
    </row>
    <row r="689" spans="1:7" s="169" customFormat="1">
      <c r="A689" s="53">
        <v>8</v>
      </c>
      <c r="B689" s="6" t="s">
        <v>644</v>
      </c>
      <c r="C689" s="53" t="s">
        <v>632</v>
      </c>
      <c r="D689" s="104">
        <f>5400/1.1</f>
        <v>4909.090909090909</v>
      </c>
      <c r="E689" s="144"/>
      <c r="F689" s="144"/>
      <c r="G689" s="168"/>
    </row>
    <row r="690" spans="1:7" s="169" customFormat="1">
      <c r="A690" s="53">
        <v>9</v>
      </c>
      <c r="B690" s="6" t="s">
        <v>645</v>
      </c>
      <c r="C690" s="53" t="s">
        <v>632</v>
      </c>
      <c r="D690" s="104">
        <f>3400/1.1</f>
        <v>3090.9090909090905</v>
      </c>
      <c r="E690" s="144"/>
      <c r="F690" s="144"/>
      <c r="G690" s="168"/>
    </row>
    <row r="691" spans="1:7" s="169" customFormat="1">
      <c r="A691" s="53">
        <v>10</v>
      </c>
      <c r="B691" s="6" t="s">
        <v>646</v>
      </c>
      <c r="C691" s="53" t="s">
        <v>632</v>
      </c>
      <c r="D691" s="104">
        <f>3200/1.1</f>
        <v>2909.090909090909</v>
      </c>
      <c r="E691" s="144"/>
      <c r="F691" s="144"/>
      <c r="G691" s="168"/>
    </row>
    <row r="692" spans="1:7" s="169" customFormat="1" ht="33" customHeight="1">
      <c r="A692" s="31"/>
      <c r="B692" s="214" t="s">
        <v>647</v>
      </c>
      <c r="C692" s="214"/>
      <c r="D692" s="214"/>
      <c r="E692" s="214"/>
      <c r="F692" s="214"/>
      <c r="G692" s="168"/>
    </row>
    <row r="693" spans="1:7" s="169" customFormat="1" ht="16.5">
      <c r="A693" s="53">
        <v>1</v>
      </c>
      <c r="B693" s="6" t="s">
        <v>648</v>
      </c>
      <c r="C693" s="58" t="s">
        <v>404</v>
      </c>
      <c r="D693" s="104"/>
      <c r="E693" s="104">
        <f>150500/1.1</f>
        <v>136818.18181818179</v>
      </c>
      <c r="F693" s="144"/>
      <c r="G693" s="168"/>
    </row>
    <row r="694" spans="1:7" s="169" customFormat="1">
      <c r="A694" s="53">
        <v>2</v>
      </c>
      <c r="B694" s="6" t="s">
        <v>649</v>
      </c>
      <c r="C694" s="53" t="s">
        <v>650</v>
      </c>
      <c r="D694" s="104"/>
      <c r="E694" s="104">
        <f>203000/1.1</f>
        <v>184545.45454545453</v>
      </c>
      <c r="F694" s="144"/>
      <c r="G694" s="168"/>
    </row>
    <row r="695" spans="1:7" s="169" customFormat="1">
      <c r="A695" s="53">
        <v>3</v>
      </c>
      <c r="B695" s="6" t="s">
        <v>651</v>
      </c>
      <c r="C695" s="53" t="s">
        <v>142</v>
      </c>
      <c r="D695" s="104"/>
      <c r="E695" s="104">
        <f>127000/1.1</f>
        <v>115454.54545454544</v>
      </c>
      <c r="F695" s="144"/>
      <c r="G695" s="168"/>
    </row>
    <row r="696" spans="1:7" s="169" customFormat="1">
      <c r="A696" s="53">
        <v>4</v>
      </c>
      <c r="B696" s="6" t="s">
        <v>652</v>
      </c>
      <c r="C696" s="53" t="s">
        <v>142</v>
      </c>
      <c r="D696" s="104"/>
      <c r="E696" s="104">
        <f>138000/1.1</f>
        <v>125454.54545454544</v>
      </c>
      <c r="F696" s="144"/>
      <c r="G696" s="168"/>
    </row>
    <row r="697" spans="1:7" s="169" customFormat="1">
      <c r="A697" s="53">
        <v>5</v>
      </c>
      <c r="B697" s="6" t="s">
        <v>653</v>
      </c>
      <c r="C697" s="10" t="s">
        <v>654</v>
      </c>
      <c r="D697" s="104"/>
      <c r="E697" s="104">
        <f>1700/1.1</f>
        <v>1545.4545454545453</v>
      </c>
      <c r="F697" s="144"/>
      <c r="G697" s="168"/>
    </row>
    <row r="698" spans="1:7" s="169" customFormat="1">
      <c r="A698" s="53">
        <v>6</v>
      </c>
      <c r="B698" s="6" t="s">
        <v>655</v>
      </c>
      <c r="C698" s="53" t="s">
        <v>142</v>
      </c>
      <c r="D698" s="104"/>
      <c r="E698" s="104">
        <f>126000/1.1</f>
        <v>114545.45454545453</v>
      </c>
      <c r="F698" s="144"/>
      <c r="G698" s="168"/>
    </row>
    <row r="699" spans="1:7" s="169" customFormat="1">
      <c r="A699" s="53">
        <v>7</v>
      </c>
      <c r="B699" s="6" t="s">
        <v>656</v>
      </c>
      <c r="C699" s="53" t="s">
        <v>142</v>
      </c>
      <c r="D699" s="104"/>
      <c r="E699" s="104">
        <f>135000/1.1</f>
        <v>122727.27272727272</v>
      </c>
      <c r="F699" s="144"/>
      <c r="G699" s="168"/>
    </row>
    <row r="700" spans="1:7" s="169" customFormat="1">
      <c r="A700" s="53">
        <v>8</v>
      </c>
      <c r="B700" s="6" t="s">
        <v>657</v>
      </c>
      <c r="C700" s="53" t="s">
        <v>142</v>
      </c>
      <c r="D700" s="104"/>
      <c r="E700" s="104">
        <f>135000/1.1</f>
        <v>122727.27272727272</v>
      </c>
      <c r="F700" s="144"/>
      <c r="G700" s="168"/>
    </row>
    <row r="701" spans="1:7" s="169" customFormat="1">
      <c r="A701" s="65">
        <v>9</v>
      </c>
      <c r="B701" s="78" t="s">
        <v>658</v>
      </c>
      <c r="C701" s="65" t="s">
        <v>650</v>
      </c>
      <c r="D701" s="109"/>
      <c r="E701" s="109">
        <f>127000/1.1</f>
        <v>115454.54545454544</v>
      </c>
      <c r="F701" s="145"/>
      <c r="G701" s="168"/>
    </row>
    <row r="702" spans="1:7" s="169" customFormat="1">
      <c r="A702" s="66">
        <v>10</v>
      </c>
      <c r="B702" s="90" t="s">
        <v>659</v>
      </c>
      <c r="C702" s="67" t="s">
        <v>660</v>
      </c>
      <c r="D702" s="146"/>
      <c r="E702" s="109">
        <f>514000/1.1</f>
        <v>467272.72727272724</v>
      </c>
      <c r="F702" s="147"/>
      <c r="G702" s="168"/>
    </row>
    <row r="703" spans="1:7" s="169" customFormat="1" ht="33.950000000000003" customHeight="1">
      <c r="A703" s="68"/>
      <c r="B703" s="214" t="s">
        <v>661</v>
      </c>
      <c r="C703" s="214"/>
      <c r="D703" s="214"/>
      <c r="E703" s="214"/>
      <c r="F703" s="214"/>
      <c r="G703" s="168"/>
    </row>
    <row r="704" spans="1:7" s="169" customFormat="1">
      <c r="A704" s="53"/>
      <c r="B704" s="6" t="s">
        <v>662</v>
      </c>
      <c r="C704" s="48"/>
      <c r="D704" s="104"/>
      <c r="E704" s="144"/>
      <c r="F704" s="144"/>
      <c r="G704" s="168"/>
    </row>
    <row r="705" spans="1:7" s="169" customFormat="1">
      <c r="A705" s="53">
        <v>1</v>
      </c>
      <c r="B705" s="6" t="s">
        <v>663</v>
      </c>
      <c r="C705" s="53" t="s">
        <v>632</v>
      </c>
      <c r="D705" s="104"/>
      <c r="E705" s="104">
        <v>27405</v>
      </c>
      <c r="F705" s="144"/>
      <c r="G705" s="168"/>
    </row>
    <row r="706" spans="1:7" s="169" customFormat="1">
      <c r="A706" s="53">
        <v>2</v>
      </c>
      <c r="B706" s="6" t="s">
        <v>664</v>
      </c>
      <c r="C706" s="53" t="s">
        <v>632</v>
      </c>
      <c r="D706" s="104"/>
      <c r="E706" s="104">
        <v>67680</v>
      </c>
      <c r="F706" s="144"/>
      <c r="G706" s="168"/>
    </row>
    <row r="707" spans="1:7" s="169" customFormat="1">
      <c r="A707" s="53">
        <v>3</v>
      </c>
      <c r="B707" s="6" t="s">
        <v>665</v>
      </c>
      <c r="C707" s="53" t="s">
        <v>632</v>
      </c>
      <c r="D707" s="104"/>
      <c r="E707" s="104">
        <v>177920</v>
      </c>
      <c r="F707" s="144"/>
      <c r="G707" s="168"/>
    </row>
    <row r="708" spans="1:7" s="169" customFormat="1">
      <c r="A708" s="53"/>
      <c r="B708" s="6" t="s">
        <v>666</v>
      </c>
      <c r="C708" s="53"/>
      <c r="D708" s="104"/>
      <c r="E708" s="104"/>
      <c r="F708" s="144"/>
      <c r="G708" s="168"/>
    </row>
    <row r="709" spans="1:7" s="169" customFormat="1">
      <c r="A709" s="53">
        <v>1</v>
      </c>
      <c r="B709" s="6" t="s">
        <v>663</v>
      </c>
      <c r="C709" s="53" t="s">
        <v>632</v>
      </c>
      <c r="D709" s="104"/>
      <c r="E709" s="104">
        <v>27675</v>
      </c>
      <c r="F709" s="144"/>
      <c r="G709" s="168"/>
    </row>
    <row r="710" spans="1:7" s="169" customFormat="1">
      <c r="A710" s="53">
        <v>2</v>
      </c>
      <c r="B710" s="6" t="s">
        <v>664</v>
      </c>
      <c r="C710" s="53" t="s">
        <v>632</v>
      </c>
      <c r="D710" s="104"/>
      <c r="E710" s="104">
        <v>68400</v>
      </c>
      <c r="F710" s="144"/>
      <c r="G710" s="168"/>
    </row>
    <row r="711" spans="1:7" s="169" customFormat="1">
      <c r="A711" s="53">
        <v>3</v>
      </c>
      <c r="B711" s="6" t="s">
        <v>665</v>
      </c>
      <c r="C711" s="53" t="s">
        <v>632</v>
      </c>
      <c r="D711" s="104"/>
      <c r="E711" s="104">
        <v>195200</v>
      </c>
      <c r="F711" s="144"/>
      <c r="G711" s="168"/>
    </row>
    <row r="712" spans="1:7" s="169" customFormat="1">
      <c r="A712" s="53"/>
      <c r="B712" s="6" t="s">
        <v>667</v>
      </c>
      <c r="C712" s="53"/>
      <c r="D712" s="104"/>
      <c r="E712" s="104"/>
      <c r="F712" s="144"/>
      <c r="G712" s="168"/>
    </row>
    <row r="713" spans="1:7" s="169" customFormat="1">
      <c r="A713" s="53">
        <v>1</v>
      </c>
      <c r="B713" s="6" t="s">
        <v>663</v>
      </c>
      <c r="C713" s="53" t="s">
        <v>632</v>
      </c>
      <c r="D713" s="104"/>
      <c r="E713" s="104">
        <v>29025</v>
      </c>
      <c r="F713" s="144"/>
      <c r="G713" s="168"/>
    </row>
    <row r="714" spans="1:7" s="169" customFormat="1">
      <c r="A714" s="53">
        <v>2</v>
      </c>
      <c r="B714" s="6" t="s">
        <v>664</v>
      </c>
      <c r="C714" s="53" t="s">
        <v>632</v>
      </c>
      <c r="D714" s="104"/>
      <c r="E714" s="104">
        <v>72000</v>
      </c>
      <c r="F714" s="144"/>
      <c r="G714" s="168"/>
    </row>
    <row r="715" spans="1:7" s="169" customFormat="1">
      <c r="A715" s="69">
        <v>3</v>
      </c>
      <c r="B715" s="80" t="s">
        <v>665</v>
      </c>
      <c r="C715" s="69" t="s">
        <v>632</v>
      </c>
      <c r="D715" s="121"/>
      <c r="E715" s="121">
        <v>185600</v>
      </c>
      <c r="F715" s="148"/>
      <c r="G715" s="168"/>
    </row>
    <row r="716" spans="1:7" s="169" customFormat="1" ht="15.75">
      <c r="A716" s="176" t="s">
        <v>668</v>
      </c>
      <c r="B716" s="214" t="s">
        <v>669</v>
      </c>
      <c r="C716" s="214"/>
      <c r="D716" s="214" t="s">
        <v>670</v>
      </c>
      <c r="E716" s="214"/>
      <c r="F716" s="214"/>
      <c r="G716" s="168"/>
    </row>
    <row r="717" spans="1:7" s="169" customFormat="1" ht="21.95" customHeight="1">
      <c r="A717" s="31" t="s">
        <v>68</v>
      </c>
      <c r="B717" s="214" t="s">
        <v>671</v>
      </c>
      <c r="C717" s="214"/>
      <c r="D717" s="214"/>
      <c r="E717" s="214"/>
      <c r="F717" s="214"/>
      <c r="G717" s="168"/>
    </row>
    <row r="718" spans="1:7" s="169" customFormat="1">
      <c r="A718" s="31">
        <v>1</v>
      </c>
      <c r="B718" s="6" t="s">
        <v>672</v>
      </c>
      <c r="C718" s="10" t="s">
        <v>398</v>
      </c>
      <c r="D718" s="143"/>
      <c r="E718" s="104">
        <f>2500000/1.1</f>
        <v>2272727.2727272725</v>
      </c>
      <c r="F718" s="104"/>
      <c r="G718" s="168"/>
    </row>
    <row r="719" spans="1:7" s="169" customFormat="1">
      <c r="A719" s="31">
        <f t="shared" ref="A719:A727" si="26">+A718+1</f>
        <v>2</v>
      </c>
      <c r="B719" s="6" t="s">
        <v>673</v>
      </c>
      <c r="C719" s="10" t="s">
        <v>398</v>
      </c>
      <c r="D719" s="143"/>
      <c r="E719" s="104">
        <f>3020000/1.1</f>
        <v>2745454.5454545454</v>
      </c>
      <c r="F719" s="104"/>
      <c r="G719" s="168"/>
    </row>
    <row r="720" spans="1:7" s="169" customFormat="1">
      <c r="A720" s="31">
        <f t="shared" si="26"/>
        <v>3</v>
      </c>
      <c r="B720" s="6" t="s">
        <v>674</v>
      </c>
      <c r="C720" s="10" t="s">
        <v>398</v>
      </c>
      <c r="D720" s="143"/>
      <c r="E720" s="104">
        <f>3400000/1.1</f>
        <v>3090909.0909090908</v>
      </c>
      <c r="F720" s="104"/>
      <c r="G720" s="168"/>
    </row>
    <row r="721" spans="1:7" s="169" customFormat="1">
      <c r="A721" s="31">
        <f t="shared" si="26"/>
        <v>4</v>
      </c>
      <c r="B721" s="6" t="s">
        <v>675</v>
      </c>
      <c r="C721" s="10" t="s">
        <v>398</v>
      </c>
      <c r="D721" s="143"/>
      <c r="E721" s="104">
        <f>5620000/1.1</f>
        <v>5109090.9090909082</v>
      </c>
      <c r="F721" s="104"/>
      <c r="G721" s="168"/>
    </row>
    <row r="722" spans="1:7" s="169" customFormat="1">
      <c r="A722" s="31">
        <f t="shared" si="26"/>
        <v>5</v>
      </c>
      <c r="B722" s="6" t="s">
        <v>676</v>
      </c>
      <c r="C722" s="10" t="s">
        <v>135</v>
      </c>
      <c r="D722" s="143"/>
      <c r="E722" s="104">
        <f>620000/1.1</f>
        <v>563636.36363636365</v>
      </c>
      <c r="F722" s="104"/>
      <c r="G722" s="168"/>
    </row>
    <row r="723" spans="1:7" s="169" customFormat="1">
      <c r="A723" s="31">
        <f t="shared" si="26"/>
        <v>6</v>
      </c>
      <c r="B723" s="6" t="s">
        <v>677</v>
      </c>
      <c r="C723" s="10" t="s">
        <v>135</v>
      </c>
      <c r="D723" s="143"/>
      <c r="E723" s="104">
        <f>750000/1.1</f>
        <v>681818.18181818177</v>
      </c>
      <c r="F723" s="104"/>
      <c r="G723" s="168"/>
    </row>
    <row r="724" spans="1:7" s="169" customFormat="1" ht="27">
      <c r="A724" s="31">
        <f t="shared" si="26"/>
        <v>7</v>
      </c>
      <c r="B724" s="6" t="s">
        <v>678</v>
      </c>
      <c r="C724" s="10" t="s">
        <v>398</v>
      </c>
      <c r="D724" s="143"/>
      <c r="E724" s="104">
        <f>2410000/1.1</f>
        <v>2190909.0909090908</v>
      </c>
      <c r="F724" s="104"/>
      <c r="G724" s="168"/>
    </row>
    <row r="725" spans="1:7" s="169" customFormat="1">
      <c r="A725" s="31">
        <f t="shared" si="26"/>
        <v>8</v>
      </c>
      <c r="B725" s="6" t="s">
        <v>679</v>
      </c>
      <c r="C725" s="10" t="s">
        <v>398</v>
      </c>
      <c r="D725" s="143"/>
      <c r="E725" s="104">
        <f>3470000/1.1</f>
        <v>3154545.4545454541</v>
      </c>
      <c r="F725" s="104"/>
      <c r="G725" s="168"/>
    </row>
    <row r="726" spans="1:7" s="169" customFormat="1">
      <c r="A726" s="31">
        <f t="shared" si="26"/>
        <v>9</v>
      </c>
      <c r="B726" s="6" t="s">
        <v>680</v>
      </c>
      <c r="C726" s="10" t="s">
        <v>398</v>
      </c>
      <c r="D726" s="143"/>
      <c r="E726" s="104">
        <f>1570000/1.1</f>
        <v>1427272.7272727271</v>
      </c>
      <c r="F726" s="104"/>
      <c r="G726" s="168"/>
    </row>
    <row r="727" spans="1:7" s="169" customFormat="1">
      <c r="A727" s="32">
        <f t="shared" si="26"/>
        <v>10</v>
      </c>
      <c r="B727" s="7" t="s">
        <v>681</v>
      </c>
      <c r="C727" s="33" t="s">
        <v>398</v>
      </c>
      <c r="D727" s="149"/>
      <c r="E727" s="106">
        <f>3620000/1.1</f>
        <v>3290909.0909090908</v>
      </c>
      <c r="F727" s="106"/>
      <c r="G727" s="168"/>
    </row>
    <row r="728" spans="1:7" s="169" customFormat="1" ht="35.450000000000003" customHeight="1">
      <c r="A728" s="70"/>
      <c r="B728" s="214" t="s">
        <v>682</v>
      </c>
      <c r="C728" s="214"/>
      <c r="D728" s="214"/>
      <c r="E728" s="214"/>
      <c r="F728" s="214"/>
      <c r="G728" s="168"/>
    </row>
    <row r="729" spans="1:7" s="169" customFormat="1">
      <c r="A729" s="31">
        <v>1</v>
      </c>
      <c r="B729" s="6" t="s">
        <v>683</v>
      </c>
      <c r="C729" s="10" t="s">
        <v>398</v>
      </c>
      <c r="D729" s="143"/>
      <c r="E729" s="104">
        <f>2400000/1.1</f>
        <v>2181818.1818181816</v>
      </c>
      <c r="F729" s="104">
        <f t="shared" ref="F729:F740" si="27">E729</f>
        <v>2181818.1818181816</v>
      </c>
      <c r="G729" s="168"/>
    </row>
    <row r="730" spans="1:7" s="169" customFormat="1">
      <c r="A730" s="31">
        <f t="shared" ref="A730:A740" si="28">+A729+1</f>
        <v>2</v>
      </c>
      <c r="B730" s="6" t="s">
        <v>684</v>
      </c>
      <c r="C730" s="10" t="s">
        <v>398</v>
      </c>
      <c r="D730" s="143"/>
      <c r="E730" s="104">
        <f>2250000/1.1</f>
        <v>2045454.5454545452</v>
      </c>
      <c r="F730" s="104">
        <f t="shared" si="27"/>
        <v>2045454.5454545452</v>
      </c>
      <c r="G730" s="168"/>
    </row>
    <row r="731" spans="1:7" s="169" customFormat="1">
      <c r="A731" s="31">
        <f t="shared" si="28"/>
        <v>3</v>
      </c>
      <c r="B731" s="6" t="s">
        <v>685</v>
      </c>
      <c r="C731" s="10" t="s">
        <v>398</v>
      </c>
      <c r="D731" s="143"/>
      <c r="E731" s="104">
        <f>2050000/1.1</f>
        <v>1863636.3636363635</v>
      </c>
      <c r="F731" s="104">
        <f t="shared" si="27"/>
        <v>1863636.3636363635</v>
      </c>
      <c r="G731" s="168"/>
    </row>
    <row r="732" spans="1:7" s="169" customFormat="1">
      <c r="A732" s="31">
        <f t="shared" si="28"/>
        <v>4</v>
      </c>
      <c r="B732" s="6" t="s">
        <v>686</v>
      </c>
      <c r="C732" s="10" t="s">
        <v>398</v>
      </c>
      <c r="D732" s="143"/>
      <c r="E732" s="104">
        <f>1850000/1.1</f>
        <v>1681818.1818181816</v>
      </c>
      <c r="F732" s="104">
        <f t="shared" si="27"/>
        <v>1681818.1818181816</v>
      </c>
      <c r="G732" s="168"/>
    </row>
    <row r="733" spans="1:7" s="169" customFormat="1">
      <c r="A733" s="31">
        <f t="shared" si="28"/>
        <v>5</v>
      </c>
      <c r="B733" s="6" t="s">
        <v>687</v>
      </c>
      <c r="C733" s="10" t="s">
        <v>135</v>
      </c>
      <c r="D733" s="143"/>
      <c r="E733" s="104">
        <f>670000/1.1</f>
        <v>609090.90909090906</v>
      </c>
      <c r="F733" s="104">
        <f t="shared" si="27"/>
        <v>609090.90909090906</v>
      </c>
      <c r="G733" s="168"/>
    </row>
    <row r="734" spans="1:7" s="169" customFormat="1">
      <c r="A734" s="31">
        <f t="shared" si="28"/>
        <v>6</v>
      </c>
      <c r="B734" s="6" t="s">
        <v>688</v>
      </c>
      <c r="C734" s="10" t="s">
        <v>135</v>
      </c>
      <c r="D734" s="143"/>
      <c r="E734" s="104">
        <f>670000/1.1</f>
        <v>609090.90909090906</v>
      </c>
      <c r="F734" s="104">
        <f t="shared" si="27"/>
        <v>609090.90909090906</v>
      </c>
      <c r="G734" s="168"/>
    </row>
    <row r="735" spans="1:7" s="169" customFormat="1">
      <c r="A735" s="31">
        <f t="shared" si="28"/>
        <v>7</v>
      </c>
      <c r="B735" s="6" t="s">
        <v>689</v>
      </c>
      <c r="C735" s="10" t="s">
        <v>135</v>
      </c>
      <c r="D735" s="143"/>
      <c r="E735" s="104">
        <f>510000/1.1</f>
        <v>463636.36363636359</v>
      </c>
      <c r="F735" s="104">
        <f t="shared" si="27"/>
        <v>463636.36363636359</v>
      </c>
      <c r="G735" s="168"/>
    </row>
    <row r="736" spans="1:7" s="169" customFormat="1">
      <c r="A736" s="31">
        <f t="shared" si="28"/>
        <v>8</v>
      </c>
      <c r="B736" s="6" t="s">
        <v>690</v>
      </c>
      <c r="C736" s="10" t="s">
        <v>135</v>
      </c>
      <c r="D736" s="143"/>
      <c r="E736" s="104">
        <f>460000/1.1</f>
        <v>418181.81818181818</v>
      </c>
      <c r="F736" s="104">
        <f t="shared" si="27"/>
        <v>418181.81818181818</v>
      </c>
      <c r="G736" s="168"/>
    </row>
    <row r="737" spans="1:7" s="169" customFormat="1">
      <c r="A737" s="31">
        <f t="shared" si="28"/>
        <v>9</v>
      </c>
      <c r="B737" s="6" t="s">
        <v>691</v>
      </c>
      <c r="C737" s="10" t="s">
        <v>135</v>
      </c>
      <c r="D737" s="143"/>
      <c r="E737" s="104">
        <f>470000/1.1</f>
        <v>427272.72727272724</v>
      </c>
      <c r="F737" s="104">
        <f t="shared" si="27"/>
        <v>427272.72727272724</v>
      </c>
      <c r="G737" s="168"/>
    </row>
    <row r="738" spans="1:7" s="169" customFormat="1">
      <c r="A738" s="31">
        <f t="shared" si="28"/>
        <v>10</v>
      </c>
      <c r="B738" s="6" t="s">
        <v>692</v>
      </c>
      <c r="C738" s="10" t="s">
        <v>135</v>
      </c>
      <c r="D738" s="143"/>
      <c r="E738" s="104">
        <f>1480000/1.1</f>
        <v>1345454.5454545454</v>
      </c>
      <c r="F738" s="104">
        <f t="shared" si="27"/>
        <v>1345454.5454545454</v>
      </c>
      <c r="G738" s="168"/>
    </row>
    <row r="739" spans="1:7" s="169" customFormat="1">
      <c r="A739" s="31">
        <f t="shared" si="28"/>
        <v>11</v>
      </c>
      <c r="B739" s="6" t="s">
        <v>693</v>
      </c>
      <c r="C739" s="10" t="s">
        <v>135</v>
      </c>
      <c r="D739" s="143"/>
      <c r="E739" s="104">
        <f>700000/1.1</f>
        <v>636363.63636363635</v>
      </c>
      <c r="F739" s="104">
        <f t="shared" si="27"/>
        <v>636363.63636363635</v>
      </c>
      <c r="G739" s="168"/>
    </row>
    <row r="740" spans="1:7" s="169" customFormat="1">
      <c r="A740" s="32">
        <f t="shared" si="28"/>
        <v>12</v>
      </c>
      <c r="B740" s="7" t="s">
        <v>694</v>
      </c>
      <c r="C740" s="33" t="s">
        <v>135</v>
      </c>
      <c r="D740" s="149"/>
      <c r="E740" s="106">
        <f>650000/1.1</f>
        <v>590909.09090909082</v>
      </c>
      <c r="F740" s="106">
        <f t="shared" si="27"/>
        <v>590909.09090909082</v>
      </c>
      <c r="G740" s="168"/>
    </row>
    <row r="741" spans="1:7" s="169" customFormat="1" ht="21" customHeight="1">
      <c r="A741" s="34"/>
      <c r="B741" s="214" t="s">
        <v>695</v>
      </c>
      <c r="C741" s="214"/>
      <c r="D741" s="214"/>
      <c r="E741" s="214"/>
      <c r="F741" s="214"/>
      <c r="G741" s="168"/>
    </row>
    <row r="742" spans="1:7" s="169" customFormat="1">
      <c r="A742" s="31">
        <v>1</v>
      </c>
      <c r="B742" s="6" t="s">
        <v>696</v>
      </c>
      <c r="C742" s="10" t="s">
        <v>398</v>
      </c>
      <c r="D742" s="143"/>
      <c r="E742" s="104">
        <f>1565000/1.1</f>
        <v>1422727.2727272727</v>
      </c>
      <c r="F742" s="104">
        <f t="shared" ref="F742:F751" si="29">E742</f>
        <v>1422727.2727272727</v>
      </c>
      <c r="G742" s="168"/>
    </row>
    <row r="743" spans="1:7" s="169" customFormat="1">
      <c r="A743" s="31">
        <f t="shared" ref="A743:A751" si="30">+A742+1</f>
        <v>2</v>
      </c>
      <c r="B743" s="6" t="s">
        <v>697</v>
      </c>
      <c r="C743" s="10" t="s">
        <v>398</v>
      </c>
      <c r="D743" s="143"/>
      <c r="E743" s="104">
        <f>560000/1.1</f>
        <v>509090.90909090906</v>
      </c>
      <c r="F743" s="104">
        <f t="shared" si="29"/>
        <v>509090.90909090906</v>
      </c>
      <c r="G743" s="168"/>
    </row>
    <row r="744" spans="1:7" s="169" customFormat="1">
      <c r="A744" s="31">
        <f t="shared" si="30"/>
        <v>3</v>
      </c>
      <c r="B744" s="6" t="s">
        <v>698</v>
      </c>
      <c r="C744" s="10" t="s">
        <v>398</v>
      </c>
      <c r="D744" s="143"/>
      <c r="E744" s="104">
        <f>895000/1.1</f>
        <v>813636.36363636353</v>
      </c>
      <c r="F744" s="104">
        <f t="shared" si="29"/>
        <v>813636.36363636353</v>
      </c>
      <c r="G744" s="168"/>
    </row>
    <row r="745" spans="1:7" s="169" customFormat="1">
      <c r="A745" s="31">
        <f t="shared" si="30"/>
        <v>4</v>
      </c>
      <c r="B745" s="6" t="s">
        <v>699</v>
      </c>
      <c r="C745" s="10" t="s">
        <v>398</v>
      </c>
      <c r="D745" s="143"/>
      <c r="E745" s="104">
        <f>250000/1.1</f>
        <v>227272.72727272726</v>
      </c>
      <c r="F745" s="104">
        <f t="shared" si="29"/>
        <v>227272.72727272726</v>
      </c>
      <c r="G745" s="168"/>
    </row>
    <row r="746" spans="1:7" s="169" customFormat="1">
      <c r="A746" s="31">
        <f t="shared" si="30"/>
        <v>5</v>
      </c>
      <c r="B746" s="6" t="s">
        <v>700</v>
      </c>
      <c r="C746" s="10" t="s">
        <v>398</v>
      </c>
      <c r="D746" s="143"/>
      <c r="E746" s="104">
        <f>335000/1.1</f>
        <v>304545.45454545453</v>
      </c>
      <c r="F746" s="104">
        <f t="shared" si="29"/>
        <v>304545.45454545453</v>
      </c>
      <c r="G746" s="168"/>
    </row>
    <row r="747" spans="1:7" s="169" customFormat="1">
      <c r="A747" s="31">
        <f t="shared" si="30"/>
        <v>6</v>
      </c>
      <c r="B747" s="6" t="s">
        <v>701</v>
      </c>
      <c r="C747" s="10" t="s">
        <v>398</v>
      </c>
      <c r="D747" s="143"/>
      <c r="E747" s="104">
        <f>330000/1.1</f>
        <v>300000</v>
      </c>
      <c r="F747" s="104">
        <f t="shared" si="29"/>
        <v>300000</v>
      </c>
      <c r="G747" s="168"/>
    </row>
    <row r="748" spans="1:7" s="169" customFormat="1">
      <c r="A748" s="31">
        <f t="shared" si="30"/>
        <v>7</v>
      </c>
      <c r="B748" s="6" t="s">
        <v>702</v>
      </c>
      <c r="C748" s="10" t="s">
        <v>398</v>
      </c>
      <c r="D748" s="143"/>
      <c r="E748" s="104">
        <f>260000/1.1</f>
        <v>236363.63636363635</v>
      </c>
      <c r="F748" s="104">
        <f t="shared" si="29"/>
        <v>236363.63636363635</v>
      </c>
      <c r="G748" s="168"/>
    </row>
    <row r="749" spans="1:7" s="169" customFormat="1">
      <c r="A749" s="31">
        <f t="shared" si="30"/>
        <v>8</v>
      </c>
      <c r="B749" s="6" t="s">
        <v>703</v>
      </c>
      <c r="C749" s="10" t="s">
        <v>398</v>
      </c>
      <c r="D749" s="143"/>
      <c r="E749" s="104">
        <f>130000/1.1</f>
        <v>118181.81818181818</v>
      </c>
      <c r="F749" s="104">
        <f t="shared" si="29"/>
        <v>118181.81818181818</v>
      </c>
      <c r="G749" s="168"/>
    </row>
    <row r="750" spans="1:7" s="169" customFormat="1">
      <c r="A750" s="41">
        <f t="shared" si="30"/>
        <v>9</v>
      </c>
      <c r="B750" s="79" t="s">
        <v>704</v>
      </c>
      <c r="C750" s="10" t="s">
        <v>398</v>
      </c>
      <c r="D750" s="199"/>
      <c r="E750" s="113">
        <f>630000/1.1</f>
        <v>572727.27272727271</v>
      </c>
      <c r="F750" s="113">
        <f t="shared" si="29"/>
        <v>572727.27272727271</v>
      </c>
      <c r="G750" s="168"/>
    </row>
    <row r="751" spans="1:7" s="169" customFormat="1">
      <c r="A751" s="51">
        <f t="shared" si="30"/>
        <v>10</v>
      </c>
      <c r="B751" s="200" t="s">
        <v>705</v>
      </c>
      <c r="C751" s="33" t="s">
        <v>398</v>
      </c>
      <c r="D751" s="201"/>
      <c r="E751" s="150">
        <f>410000/1.1</f>
        <v>372727.27272727271</v>
      </c>
      <c r="F751" s="150">
        <f t="shared" si="29"/>
        <v>372727.27272727271</v>
      </c>
      <c r="G751" s="168"/>
    </row>
    <row r="752" spans="1:7" s="169" customFormat="1" ht="15" customHeight="1">
      <c r="A752" s="71"/>
      <c r="B752" s="214" t="s">
        <v>706</v>
      </c>
      <c r="C752" s="214"/>
      <c r="D752" s="214"/>
      <c r="E752" s="214"/>
      <c r="F752" s="214"/>
      <c r="G752" s="168"/>
    </row>
    <row r="753" spans="1:7" s="169" customFormat="1">
      <c r="A753" s="10">
        <v>1</v>
      </c>
      <c r="B753" s="6" t="s">
        <v>696</v>
      </c>
      <c r="C753" s="10" t="s">
        <v>398</v>
      </c>
      <c r="D753" s="104"/>
      <c r="E753" s="104">
        <f>1565000/1.1</f>
        <v>1422727.2727272727</v>
      </c>
      <c r="F753" s="104"/>
      <c r="G753" s="168"/>
    </row>
    <row r="754" spans="1:7" s="169" customFormat="1">
      <c r="A754" s="10">
        <f>+A753+1</f>
        <v>2</v>
      </c>
      <c r="B754" s="6" t="s">
        <v>707</v>
      </c>
      <c r="C754" s="10" t="s">
        <v>398</v>
      </c>
      <c r="D754" s="104"/>
      <c r="E754" s="104">
        <f>550000/1.1</f>
        <v>499999.99999999994</v>
      </c>
      <c r="F754" s="104"/>
      <c r="G754" s="168"/>
    </row>
    <row r="755" spans="1:7" s="169" customFormat="1">
      <c r="A755" s="10">
        <f t="shared" ref="A755:A762" si="31">+A754+1</f>
        <v>3</v>
      </c>
      <c r="B755" s="6" t="s">
        <v>705</v>
      </c>
      <c r="C755" s="10" t="s">
        <v>398</v>
      </c>
      <c r="D755" s="104"/>
      <c r="E755" s="104">
        <f>410000/1.1</f>
        <v>372727.27272727271</v>
      </c>
      <c r="F755" s="104"/>
      <c r="G755" s="168"/>
    </row>
    <row r="756" spans="1:7" s="169" customFormat="1">
      <c r="A756" s="10">
        <f t="shared" si="31"/>
        <v>4</v>
      </c>
      <c r="B756" s="6" t="s">
        <v>704</v>
      </c>
      <c r="C756" s="10" t="s">
        <v>398</v>
      </c>
      <c r="D756" s="104"/>
      <c r="E756" s="104">
        <f>630000/1.1</f>
        <v>572727.27272727271</v>
      </c>
      <c r="F756" s="104"/>
      <c r="G756" s="168"/>
    </row>
    <row r="757" spans="1:7" s="169" customFormat="1">
      <c r="A757" s="10">
        <f t="shared" si="31"/>
        <v>5</v>
      </c>
      <c r="B757" s="6" t="s">
        <v>708</v>
      </c>
      <c r="C757" s="10" t="s">
        <v>398</v>
      </c>
      <c r="D757" s="104"/>
      <c r="E757" s="104">
        <f>895000/1.1</f>
        <v>813636.36363636353</v>
      </c>
      <c r="F757" s="104"/>
      <c r="G757" s="168"/>
    </row>
    <row r="758" spans="1:7" s="169" customFormat="1">
      <c r="A758" s="10">
        <f t="shared" si="31"/>
        <v>6</v>
      </c>
      <c r="B758" s="6" t="s">
        <v>699</v>
      </c>
      <c r="C758" s="10" t="s">
        <v>398</v>
      </c>
      <c r="D758" s="104"/>
      <c r="E758" s="104">
        <f>250000/1.1</f>
        <v>227272.72727272726</v>
      </c>
      <c r="F758" s="104"/>
      <c r="G758" s="168"/>
    </row>
    <row r="759" spans="1:7" s="169" customFormat="1">
      <c r="A759" s="10">
        <f t="shared" si="31"/>
        <v>7</v>
      </c>
      <c r="B759" s="6" t="s">
        <v>700</v>
      </c>
      <c r="C759" s="10" t="s">
        <v>398</v>
      </c>
      <c r="D759" s="104"/>
      <c r="E759" s="104">
        <f>335000/1.1</f>
        <v>304545.45454545453</v>
      </c>
      <c r="F759" s="104"/>
      <c r="G759" s="168"/>
    </row>
    <row r="760" spans="1:7" s="169" customFormat="1">
      <c r="A760" s="10">
        <f t="shared" si="31"/>
        <v>8</v>
      </c>
      <c r="B760" s="6" t="s">
        <v>709</v>
      </c>
      <c r="C760" s="10" t="s">
        <v>398</v>
      </c>
      <c r="D760" s="104"/>
      <c r="E760" s="104">
        <f>330000/1.1</f>
        <v>300000</v>
      </c>
      <c r="F760" s="104"/>
      <c r="G760" s="168"/>
    </row>
    <row r="761" spans="1:7" s="169" customFormat="1">
      <c r="A761" s="10">
        <f t="shared" si="31"/>
        <v>9</v>
      </c>
      <c r="B761" s="6" t="s">
        <v>710</v>
      </c>
      <c r="C761" s="10" t="s">
        <v>398</v>
      </c>
      <c r="D761" s="104"/>
      <c r="E761" s="104">
        <f>260000/1.1</f>
        <v>236363.63636363635</v>
      </c>
      <c r="F761" s="104"/>
      <c r="G761" s="168"/>
    </row>
    <row r="762" spans="1:7" s="169" customFormat="1">
      <c r="A762" s="33">
        <f t="shared" si="31"/>
        <v>10</v>
      </c>
      <c r="B762" s="7" t="s">
        <v>711</v>
      </c>
      <c r="C762" s="33" t="s">
        <v>398</v>
      </c>
      <c r="D762" s="106"/>
      <c r="E762" s="106">
        <f>130000/1.1</f>
        <v>118181.81818181818</v>
      </c>
      <c r="F762" s="106"/>
      <c r="G762" s="168"/>
    </row>
    <row r="763" spans="1:7" s="169" customFormat="1" ht="15" customHeight="1">
      <c r="A763" s="34"/>
      <c r="B763" s="214" t="s">
        <v>712</v>
      </c>
      <c r="C763" s="214"/>
      <c r="D763" s="214"/>
      <c r="E763" s="214"/>
      <c r="F763" s="214"/>
      <c r="G763" s="168"/>
    </row>
    <row r="764" spans="1:7" s="169" customFormat="1">
      <c r="A764" s="31"/>
      <c r="B764" s="8" t="s">
        <v>713</v>
      </c>
      <c r="C764" s="49"/>
      <c r="D764" s="138"/>
      <c r="E764" s="138"/>
      <c r="F764" s="138"/>
      <c r="G764" s="168"/>
    </row>
    <row r="765" spans="1:7" s="169" customFormat="1">
      <c r="A765" s="31">
        <v>1</v>
      </c>
      <c r="B765" s="6" t="s">
        <v>714</v>
      </c>
      <c r="C765" s="10" t="s">
        <v>398</v>
      </c>
      <c r="D765" s="138"/>
      <c r="E765" s="104">
        <f>1045000/1.1</f>
        <v>949999.99999999988</v>
      </c>
      <c r="F765" s="104">
        <f>E765</f>
        <v>949999.99999999988</v>
      </c>
      <c r="G765" s="168"/>
    </row>
    <row r="766" spans="1:7" s="169" customFormat="1">
      <c r="A766" s="31">
        <f>+A765+1</f>
        <v>2</v>
      </c>
      <c r="B766" s="6" t="s">
        <v>715</v>
      </c>
      <c r="C766" s="10" t="s">
        <v>398</v>
      </c>
      <c r="D766" s="143"/>
      <c r="E766" s="104">
        <f>1155000/1.1</f>
        <v>1050000</v>
      </c>
      <c r="F766" s="104">
        <f>E766</f>
        <v>1050000</v>
      </c>
      <c r="G766" s="168"/>
    </row>
    <row r="767" spans="1:7" s="169" customFormat="1">
      <c r="A767" s="31">
        <f>+A766+1</f>
        <v>3</v>
      </c>
      <c r="B767" s="6" t="s">
        <v>716</v>
      </c>
      <c r="C767" s="10" t="s">
        <v>398</v>
      </c>
      <c r="D767" s="143"/>
      <c r="E767" s="104">
        <f>1449800/1.1</f>
        <v>1318000</v>
      </c>
      <c r="F767" s="104">
        <f>E767</f>
        <v>1318000</v>
      </c>
      <c r="G767" s="168"/>
    </row>
    <row r="768" spans="1:7" s="169" customFormat="1">
      <c r="A768" s="31"/>
      <c r="B768" s="8" t="s">
        <v>717</v>
      </c>
      <c r="C768" s="10"/>
      <c r="D768" s="143"/>
      <c r="E768" s="104"/>
      <c r="F768" s="104"/>
      <c r="G768" s="168"/>
    </row>
    <row r="769" spans="1:7" s="169" customFormat="1">
      <c r="A769" s="31">
        <f>+A767+1</f>
        <v>4</v>
      </c>
      <c r="B769" s="6" t="s">
        <v>718</v>
      </c>
      <c r="C769" s="10" t="s">
        <v>398</v>
      </c>
      <c r="D769" s="143"/>
      <c r="E769" s="104">
        <f>2497000/1.1</f>
        <v>2270000</v>
      </c>
      <c r="F769" s="104">
        <f>E769</f>
        <v>2270000</v>
      </c>
      <c r="G769" s="168"/>
    </row>
    <row r="770" spans="1:7" s="169" customFormat="1">
      <c r="A770" s="31"/>
      <c r="B770" s="8" t="s">
        <v>719</v>
      </c>
      <c r="C770" s="10"/>
      <c r="D770" s="143"/>
      <c r="E770" s="104"/>
      <c r="F770" s="104"/>
      <c r="G770" s="168"/>
    </row>
    <row r="771" spans="1:7" s="169" customFormat="1">
      <c r="A771" s="31">
        <f>+A769+1</f>
        <v>5</v>
      </c>
      <c r="B771" s="6" t="s">
        <v>720</v>
      </c>
      <c r="C771" s="10" t="s">
        <v>135</v>
      </c>
      <c r="D771" s="143"/>
      <c r="E771" s="104">
        <f>332750/1.1</f>
        <v>302500</v>
      </c>
      <c r="F771" s="104">
        <f>E771</f>
        <v>302500</v>
      </c>
      <c r="G771" s="168"/>
    </row>
    <row r="772" spans="1:7" s="169" customFormat="1">
      <c r="A772" s="31">
        <f>+A771+1</f>
        <v>6</v>
      </c>
      <c r="B772" s="6" t="s">
        <v>721</v>
      </c>
      <c r="C772" s="10" t="s">
        <v>398</v>
      </c>
      <c r="D772" s="143"/>
      <c r="E772" s="104">
        <f>528000/1.1</f>
        <v>479999.99999999994</v>
      </c>
      <c r="F772" s="104">
        <f>528000/1.1</f>
        <v>479999.99999999994</v>
      </c>
      <c r="G772" s="168"/>
    </row>
    <row r="773" spans="1:7" s="169" customFormat="1">
      <c r="A773" s="31"/>
      <c r="B773" s="8" t="s">
        <v>722</v>
      </c>
      <c r="C773" s="10"/>
      <c r="D773" s="143"/>
      <c r="E773" s="104"/>
      <c r="F773" s="104"/>
      <c r="G773" s="168"/>
    </row>
    <row r="774" spans="1:7" s="169" customFormat="1">
      <c r="A774" s="31">
        <v>7</v>
      </c>
      <c r="B774" s="6" t="s">
        <v>723</v>
      </c>
      <c r="C774" s="10" t="s">
        <v>135</v>
      </c>
      <c r="D774" s="143"/>
      <c r="E774" s="104">
        <f>268400/1.1</f>
        <v>243999.99999999997</v>
      </c>
      <c r="F774" s="104">
        <f>E774</f>
        <v>243999.99999999997</v>
      </c>
      <c r="G774" s="168"/>
    </row>
    <row r="775" spans="1:7" s="169" customFormat="1">
      <c r="A775" s="31">
        <v>8</v>
      </c>
      <c r="B775" s="6" t="s">
        <v>724</v>
      </c>
      <c r="C775" s="10" t="s">
        <v>135</v>
      </c>
      <c r="D775" s="143"/>
      <c r="E775" s="104">
        <f>305800/1.1</f>
        <v>278000</v>
      </c>
      <c r="F775" s="104">
        <f>E775</f>
        <v>278000</v>
      </c>
      <c r="G775" s="168"/>
    </row>
    <row r="776" spans="1:7" s="169" customFormat="1">
      <c r="A776" s="31"/>
      <c r="B776" s="8" t="s">
        <v>725</v>
      </c>
      <c r="C776" s="10"/>
      <c r="D776" s="143"/>
      <c r="E776" s="104"/>
      <c r="F776" s="104"/>
      <c r="G776" s="168"/>
    </row>
    <row r="777" spans="1:7" s="169" customFormat="1">
      <c r="A777" s="31">
        <f>+A775+1</f>
        <v>9</v>
      </c>
      <c r="B777" s="6" t="s">
        <v>726</v>
      </c>
      <c r="C777" s="10" t="s">
        <v>135</v>
      </c>
      <c r="D777" s="143"/>
      <c r="E777" s="104">
        <f>209000/1.1</f>
        <v>189999.99999999997</v>
      </c>
      <c r="F777" s="104">
        <f>E777</f>
        <v>189999.99999999997</v>
      </c>
      <c r="G777" s="168"/>
    </row>
    <row r="778" spans="1:7" s="169" customFormat="1">
      <c r="A778" s="39">
        <f>+A777+1</f>
        <v>10</v>
      </c>
      <c r="B778" s="78" t="s">
        <v>727</v>
      </c>
      <c r="C778" s="38" t="s">
        <v>135</v>
      </c>
      <c r="D778" s="151"/>
      <c r="E778" s="109">
        <f>440000/1.1</f>
        <v>399999.99999999994</v>
      </c>
      <c r="F778" s="109">
        <f>E778</f>
        <v>399999.99999999994</v>
      </c>
      <c r="G778" s="168"/>
    </row>
    <row r="779" spans="1:7" s="169" customFormat="1" ht="35.450000000000003" customHeight="1">
      <c r="A779" s="44"/>
      <c r="B779" s="233" t="s">
        <v>728</v>
      </c>
      <c r="C779" s="233"/>
      <c r="D779" s="233"/>
      <c r="E779" s="233"/>
      <c r="F779" s="233"/>
      <c r="G779" s="168"/>
    </row>
    <row r="780" spans="1:7" s="169" customFormat="1">
      <c r="A780" s="31">
        <v>1</v>
      </c>
      <c r="B780" s="6" t="s">
        <v>729</v>
      </c>
      <c r="C780" s="10" t="s">
        <v>398</v>
      </c>
      <c r="D780" s="143"/>
      <c r="E780" s="104">
        <v>18450000</v>
      </c>
      <c r="F780" s="104"/>
      <c r="G780" s="168"/>
    </row>
    <row r="781" spans="1:7" s="169" customFormat="1">
      <c r="A781" s="31">
        <v>2</v>
      </c>
      <c r="B781" s="6" t="s">
        <v>730</v>
      </c>
      <c r="C781" s="10" t="s">
        <v>398</v>
      </c>
      <c r="D781" s="143"/>
      <c r="E781" s="104">
        <v>2320000</v>
      </c>
      <c r="F781" s="104"/>
      <c r="G781" s="168"/>
    </row>
    <row r="782" spans="1:7" s="169" customFormat="1">
      <c r="A782" s="31">
        <v>3</v>
      </c>
      <c r="B782" s="8" t="s">
        <v>731</v>
      </c>
      <c r="C782" s="10" t="s">
        <v>398</v>
      </c>
      <c r="D782" s="143"/>
      <c r="E782" s="104">
        <v>2860000</v>
      </c>
      <c r="F782" s="104"/>
      <c r="G782" s="168"/>
    </row>
    <row r="783" spans="1:7" s="169" customFormat="1">
      <c r="A783" s="31">
        <v>4</v>
      </c>
      <c r="B783" s="6" t="s">
        <v>732</v>
      </c>
      <c r="C783" s="10" t="s">
        <v>135</v>
      </c>
      <c r="D783" s="143"/>
      <c r="E783" s="104">
        <v>410000</v>
      </c>
      <c r="F783" s="104"/>
      <c r="G783" s="168"/>
    </row>
    <row r="784" spans="1:7" s="169" customFormat="1">
      <c r="A784" s="31">
        <v>5</v>
      </c>
      <c r="B784" s="6" t="s">
        <v>733</v>
      </c>
      <c r="C784" s="10" t="s">
        <v>135</v>
      </c>
      <c r="D784" s="143"/>
      <c r="E784" s="104">
        <v>515000</v>
      </c>
      <c r="F784" s="104"/>
      <c r="G784" s="168"/>
    </row>
    <row r="785" spans="1:7" s="169" customFormat="1">
      <c r="A785" s="31">
        <v>6</v>
      </c>
      <c r="B785" s="8" t="s">
        <v>734</v>
      </c>
      <c r="C785" s="10" t="s">
        <v>135</v>
      </c>
      <c r="D785" s="143"/>
      <c r="E785" s="104">
        <v>730000</v>
      </c>
      <c r="F785" s="104"/>
      <c r="G785" s="168"/>
    </row>
    <row r="786" spans="1:7" s="169" customFormat="1">
      <c r="A786" s="31">
        <v>7</v>
      </c>
      <c r="B786" s="6" t="s">
        <v>735</v>
      </c>
      <c r="C786" s="10" t="s">
        <v>135</v>
      </c>
      <c r="D786" s="143"/>
      <c r="E786" s="104">
        <v>470000</v>
      </c>
      <c r="F786" s="104"/>
      <c r="G786" s="168"/>
    </row>
    <row r="787" spans="1:7" s="169" customFormat="1">
      <c r="A787" s="31">
        <v>8</v>
      </c>
      <c r="B787" s="6" t="s">
        <v>736</v>
      </c>
      <c r="C787" s="10" t="s">
        <v>135</v>
      </c>
      <c r="D787" s="143"/>
      <c r="E787" s="104">
        <v>975000</v>
      </c>
      <c r="F787" s="104"/>
      <c r="G787" s="168"/>
    </row>
    <row r="788" spans="1:7" s="169" customFormat="1">
      <c r="A788" s="31">
        <v>9</v>
      </c>
      <c r="B788" s="8" t="s">
        <v>737</v>
      </c>
      <c r="C788" s="10" t="s">
        <v>135</v>
      </c>
      <c r="D788" s="143"/>
      <c r="E788" s="104">
        <v>1070000</v>
      </c>
      <c r="F788" s="104"/>
      <c r="G788" s="168"/>
    </row>
    <row r="789" spans="1:7" s="169" customFormat="1">
      <c r="A789" s="31">
        <v>10</v>
      </c>
      <c r="B789" s="6" t="s">
        <v>738</v>
      </c>
      <c r="C789" s="10" t="s">
        <v>135</v>
      </c>
      <c r="D789" s="143"/>
      <c r="E789" s="104">
        <v>790000</v>
      </c>
      <c r="F789" s="104"/>
      <c r="G789" s="168"/>
    </row>
    <row r="790" spans="1:7" s="169" customFormat="1">
      <c r="A790" s="31">
        <v>11</v>
      </c>
      <c r="B790" s="6" t="s">
        <v>739</v>
      </c>
      <c r="C790" s="10" t="s">
        <v>135</v>
      </c>
      <c r="D790" s="143"/>
      <c r="E790" s="104">
        <v>550000</v>
      </c>
      <c r="F790" s="104"/>
      <c r="G790" s="168"/>
    </row>
    <row r="791" spans="1:7" s="169" customFormat="1" ht="15.75">
      <c r="A791" s="176" t="s">
        <v>740</v>
      </c>
      <c r="B791" s="213" t="s">
        <v>741</v>
      </c>
      <c r="C791" s="213"/>
      <c r="D791" s="213"/>
      <c r="E791" s="213"/>
      <c r="F791" s="213"/>
      <c r="G791" s="168"/>
    </row>
    <row r="792" spans="1:7" s="169" customFormat="1" ht="31.5" customHeight="1">
      <c r="A792" s="31"/>
      <c r="B792" s="213" t="s">
        <v>1670</v>
      </c>
      <c r="C792" s="213"/>
      <c r="D792" s="213"/>
      <c r="E792" s="213"/>
      <c r="F792" s="213"/>
      <c r="G792" s="168"/>
    </row>
    <row r="793" spans="1:7" s="169" customFormat="1" ht="15" customHeight="1">
      <c r="A793" s="31"/>
      <c r="B793" s="8" t="s">
        <v>742</v>
      </c>
      <c r="C793" s="8"/>
      <c r="D793" s="8"/>
      <c r="E793" s="8"/>
      <c r="F793" s="8"/>
      <c r="G793" s="168"/>
    </row>
    <row r="794" spans="1:7" s="169" customFormat="1" ht="16.5">
      <c r="A794" s="31">
        <v>1</v>
      </c>
      <c r="B794" s="23" t="s">
        <v>743</v>
      </c>
      <c r="C794" s="10" t="s">
        <v>404</v>
      </c>
      <c r="D794" s="104">
        <v>13600</v>
      </c>
      <c r="E794" s="104"/>
      <c r="F794" s="104"/>
      <c r="G794" s="168"/>
    </row>
    <row r="795" spans="1:7" s="169" customFormat="1" ht="16.5">
      <c r="A795" s="31">
        <f t="shared" ref="A795:A801" si="32">+A794+1</f>
        <v>2</v>
      </c>
      <c r="B795" s="23" t="s">
        <v>744</v>
      </c>
      <c r="C795" s="10" t="s">
        <v>404</v>
      </c>
      <c r="D795" s="104">
        <v>14800</v>
      </c>
      <c r="E795" s="104"/>
      <c r="F795" s="104"/>
      <c r="G795" s="168"/>
    </row>
    <row r="796" spans="1:7" s="169" customFormat="1" ht="16.5">
      <c r="A796" s="31">
        <f t="shared" si="32"/>
        <v>3</v>
      </c>
      <c r="B796" s="23" t="s">
        <v>745</v>
      </c>
      <c r="C796" s="10" t="s">
        <v>404</v>
      </c>
      <c r="D796" s="104">
        <v>17100</v>
      </c>
      <c r="E796" s="104"/>
      <c r="F796" s="104"/>
      <c r="G796" s="168"/>
    </row>
    <row r="797" spans="1:7" s="169" customFormat="1" ht="16.5">
      <c r="A797" s="31">
        <f t="shared" si="32"/>
        <v>4</v>
      </c>
      <c r="B797" s="23" t="s">
        <v>746</v>
      </c>
      <c r="C797" s="10" t="s">
        <v>404</v>
      </c>
      <c r="D797" s="104">
        <v>18600</v>
      </c>
      <c r="E797" s="104"/>
      <c r="F797" s="104"/>
      <c r="G797" s="168"/>
    </row>
    <row r="798" spans="1:7" s="169" customFormat="1" ht="16.5">
      <c r="A798" s="31">
        <f t="shared" si="32"/>
        <v>5</v>
      </c>
      <c r="B798" s="23" t="s">
        <v>747</v>
      </c>
      <c r="C798" s="10" t="s">
        <v>404</v>
      </c>
      <c r="D798" s="104">
        <v>24600</v>
      </c>
      <c r="E798" s="104"/>
      <c r="F798" s="104"/>
      <c r="G798" s="168"/>
    </row>
    <row r="799" spans="1:7" s="169" customFormat="1" ht="16.5">
      <c r="A799" s="31">
        <f t="shared" si="32"/>
        <v>6</v>
      </c>
      <c r="B799" s="23" t="s">
        <v>748</v>
      </c>
      <c r="C799" s="10" t="s">
        <v>404</v>
      </c>
      <c r="D799" s="104">
        <v>27200</v>
      </c>
      <c r="E799" s="104"/>
      <c r="F799" s="104"/>
      <c r="G799" s="168"/>
    </row>
    <row r="800" spans="1:7" s="169" customFormat="1" ht="16.5">
      <c r="A800" s="31">
        <f t="shared" si="32"/>
        <v>7</v>
      </c>
      <c r="B800" s="23" t="s">
        <v>749</v>
      </c>
      <c r="C800" s="10" t="s">
        <v>404</v>
      </c>
      <c r="D800" s="104">
        <v>30600</v>
      </c>
      <c r="E800" s="104"/>
      <c r="F800" s="104"/>
      <c r="G800" s="168"/>
    </row>
    <row r="801" spans="1:7" s="169" customFormat="1" ht="16.5">
      <c r="A801" s="31">
        <f t="shared" si="32"/>
        <v>8</v>
      </c>
      <c r="B801" s="23" t="s">
        <v>750</v>
      </c>
      <c r="C801" s="10" t="s">
        <v>404</v>
      </c>
      <c r="D801" s="104">
        <v>31800</v>
      </c>
      <c r="E801" s="104"/>
      <c r="F801" s="104"/>
      <c r="G801" s="168"/>
    </row>
    <row r="802" spans="1:7" s="169" customFormat="1" ht="15" customHeight="1">
      <c r="A802" s="31"/>
      <c r="B802" s="8" t="s">
        <v>751</v>
      </c>
      <c r="C802" s="8"/>
      <c r="D802" s="8"/>
      <c r="E802" s="8"/>
      <c r="F802" s="8"/>
      <c r="G802" s="168"/>
    </row>
    <row r="803" spans="1:7" s="169" customFormat="1">
      <c r="A803" s="31"/>
      <c r="B803" s="8" t="s">
        <v>752</v>
      </c>
      <c r="C803" s="12"/>
      <c r="D803" s="104"/>
      <c r="E803" s="104"/>
      <c r="F803" s="104"/>
      <c r="G803" s="168"/>
    </row>
    <row r="804" spans="1:7" s="169" customFormat="1" ht="16.5">
      <c r="A804" s="31">
        <f>+A801+1</f>
        <v>9</v>
      </c>
      <c r="B804" s="6" t="s">
        <v>753</v>
      </c>
      <c r="C804" s="10" t="s">
        <v>754</v>
      </c>
      <c r="D804" s="104">
        <v>40500</v>
      </c>
      <c r="E804" s="104"/>
      <c r="F804" s="104"/>
      <c r="G804" s="168"/>
    </row>
    <row r="805" spans="1:7" s="169" customFormat="1" ht="16.5">
      <c r="A805" s="31">
        <f>+A804+1</f>
        <v>10</v>
      </c>
      <c r="B805" s="6" t="s">
        <v>755</v>
      </c>
      <c r="C805" s="10" t="s">
        <v>754</v>
      </c>
      <c r="D805" s="104">
        <v>45000</v>
      </c>
      <c r="E805" s="104"/>
      <c r="F805" s="104"/>
      <c r="G805" s="168"/>
    </row>
    <row r="806" spans="1:7" s="169" customFormat="1" ht="16.5">
      <c r="A806" s="31">
        <f>+A805+1</f>
        <v>11</v>
      </c>
      <c r="B806" s="6" t="s">
        <v>756</v>
      </c>
      <c r="C806" s="10" t="s">
        <v>754</v>
      </c>
      <c r="D806" s="104">
        <v>52500</v>
      </c>
      <c r="E806" s="104"/>
      <c r="F806" s="104"/>
      <c r="G806" s="168"/>
    </row>
    <row r="807" spans="1:7" s="169" customFormat="1">
      <c r="A807" s="31"/>
      <c r="B807" s="8" t="s">
        <v>757</v>
      </c>
      <c r="C807" s="12"/>
      <c r="D807" s="104"/>
      <c r="E807" s="104"/>
      <c r="F807" s="104"/>
      <c r="G807" s="168"/>
    </row>
    <row r="808" spans="1:7" s="169" customFormat="1" ht="16.5">
      <c r="A808" s="31">
        <f>+A806+1</f>
        <v>12</v>
      </c>
      <c r="B808" s="6" t="s">
        <v>753</v>
      </c>
      <c r="C808" s="10" t="s">
        <v>754</v>
      </c>
      <c r="D808" s="104">
        <v>37500</v>
      </c>
      <c r="E808" s="104"/>
      <c r="F808" s="104"/>
      <c r="G808" s="168"/>
    </row>
    <row r="809" spans="1:7" s="169" customFormat="1" ht="16.5">
      <c r="A809" s="31">
        <f>+A808+1</f>
        <v>13</v>
      </c>
      <c r="B809" s="6" t="s">
        <v>758</v>
      </c>
      <c r="C809" s="10" t="s">
        <v>754</v>
      </c>
      <c r="D809" s="104">
        <v>39500</v>
      </c>
      <c r="E809" s="104"/>
      <c r="F809" s="104"/>
      <c r="G809" s="168"/>
    </row>
    <row r="810" spans="1:7" s="169" customFormat="1" ht="16.5">
      <c r="A810" s="39">
        <f>+A809+1</f>
        <v>14</v>
      </c>
      <c r="B810" s="78" t="s">
        <v>756</v>
      </c>
      <c r="C810" s="38" t="s">
        <v>754</v>
      </c>
      <c r="D810" s="109">
        <v>46000</v>
      </c>
      <c r="E810" s="109"/>
      <c r="F810" s="109"/>
      <c r="G810" s="168"/>
    </row>
    <row r="811" spans="1:7" s="169" customFormat="1" ht="15.75">
      <c r="A811" s="176" t="s">
        <v>759</v>
      </c>
      <c r="B811" s="213" t="s">
        <v>760</v>
      </c>
      <c r="C811" s="213"/>
      <c r="D811" s="213"/>
      <c r="E811" s="213"/>
      <c r="F811" s="213"/>
      <c r="G811" s="168"/>
    </row>
    <row r="812" spans="1:7" s="169" customFormat="1" ht="27">
      <c r="A812" s="31"/>
      <c r="B812" s="6" t="s">
        <v>761</v>
      </c>
      <c r="C812" s="10"/>
      <c r="D812" s="104"/>
      <c r="E812" s="104"/>
      <c r="F812" s="104"/>
      <c r="G812" s="168"/>
    </row>
    <row r="813" spans="1:7" s="169" customFormat="1">
      <c r="A813" s="31"/>
      <c r="B813" s="6" t="s">
        <v>762</v>
      </c>
      <c r="C813" s="10" t="s">
        <v>244</v>
      </c>
      <c r="D813" s="104"/>
      <c r="E813" s="121">
        <v>80000</v>
      </c>
      <c r="F813" s="121">
        <v>81000</v>
      </c>
      <c r="G813" s="168"/>
    </row>
    <row r="814" spans="1:7" s="169" customFormat="1" ht="15.75">
      <c r="A814" s="176" t="s">
        <v>763</v>
      </c>
      <c r="B814" s="213" t="s">
        <v>764</v>
      </c>
      <c r="C814" s="213"/>
      <c r="D814" s="213"/>
      <c r="E814" s="213"/>
      <c r="F814" s="213"/>
      <c r="G814" s="168"/>
    </row>
    <row r="815" spans="1:7" s="169" customFormat="1" ht="36.950000000000003" customHeight="1">
      <c r="A815" s="31"/>
      <c r="B815" s="213" t="s">
        <v>765</v>
      </c>
      <c r="C815" s="213"/>
      <c r="D815" s="213"/>
      <c r="E815" s="213"/>
      <c r="F815" s="213"/>
      <c r="G815" s="168"/>
    </row>
    <row r="816" spans="1:7" s="169" customFormat="1" ht="15" customHeight="1">
      <c r="A816" s="31"/>
      <c r="B816" s="8" t="s">
        <v>766</v>
      </c>
      <c r="C816" s="12"/>
      <c r="D816" s="126"/>
      <c r="E816" s="104"/>
      <c r="F816" s="104"/>
      <c r="G816" s="168"/>
    </row>
    <row r="817" spans="1:7" s="169" customFormat="1">
      <c r="A817" s="31">
        <v>1</v>
      </c>
      <c r="B817" s="6" t="s">
        <v>767</v>
      </c>
      <c r="C817" s="10" t="s">
        <v>398</v>
      </c>
      <c r="D817" s="126"/>
      <c r="E817" s="104">
        <v>8100000</v>
      </c>
      <c r="F817" s="104"/>
      <c r="G817" s="168"/>
    </row>
    <row r="818" spans="1:7" s="169" customFormat="1">
      <c r="A818" s="31">
        <f>+A817+1</f>
        <v>2</v>
      </c>
      <c r="B818" s="6" t="s">
        <v>768</v>
      </c>
      <c r="C818" s="10" t="s">
        <v>398</v>
      </c>
      <c r="D818" s="126"/>
      <c r="E818" s="104">
        <v>10150000</v>
      </c>
      <c r="F818" s="104"/>
      <c r="G818" s="168"/>
    </row>
    <row r="819" spans="1:7" s="169" customFormat="1">
      <c r="A819" s="31">
        <f>+A818+1</f>
        <v>3</v>
      </c>
      <c r="B819" s="6" t="s">
        <v>769</v>
      </c>
      <c r="C819" s="10" t="s">
        <v>398</v>
      </c>
      <c r="D819" s="126"/>
      <c r="E819" s="104">
        <v>14750000</v>
      </c>
      <c r="F819" s="104"/>
      <c r="G819" s="168"/>
    </row>
    <row r="820" spans="1:7" s="169" customFormat="1">
      <c r="A820" s="31">
        <f>+A819+1</f>
        <v>4</v>
      </c>
      <c r="B820" s="6" t="s">
        <v>770</v>
      </c>
      <c r="C820" s="10" t="s">
        <v>398</v>
      </c>
      <c r="D820" s="126"/>
      <c r="E820" s="104">
        <v>19450000</v>
      </c>
      <c r="F820" s="104"/>
      <c r="G820" s="168"/>
    </row>
    <row r="821" spans="1:7" s="169" customFormat="1">
      <c r="A821" s="31"/>
      <c r="B821" s="8" t="s">
        <v>771</v>
      </c>
      <c r="C821" s="12"/>
      <c r="D821" s="126"/>
      <c r="E821" s="104"/>
      <c r="F821" s="104"/>
      <c r="G821" s="168"/>
    </row>
    <row r="822" spans="1:7" s="169" customFormat="1">
      <c r="A822" s="31">
        <f>+A820+1</f>
        <v>5</v>
      </c>
      <c r="B822" s="6" t="s">
        <v>767</v>
      </c>
      <c r="C822" s="10" t="s">
        <v>398</v>
      </c>
      <c r="D822" s="126"/>
      <c r="E822" s="104">
        <v>7300000</v>
      </c>
      <c r="F822" s="104"/>
      <c r="G822" s="168"/>
    </row>
    <row r="823" spans="1:7" s="169" customFormat="1">
      <c r="A823" s="31">
        <f>+A822+1</f>
        <v>6</v>
      </c>
      <c r="B823" s="6" t="s">
        <v>768</v>
      </c>
      <c r="C823" s="10" t="s">
        <v>398</v>
      </c>
      <c r="D823" s="126"/>
      <c r="E823" s="104">
        <v>9600000</v>
      </c>
      <c r="F823" s="104"/>
      <c r="G823" s="168"/>
    </row>
    <row r="824" spans="1:7" s="169" customFormat="1">
      <c r="A824" s="31">
        <f>+A823+1</f>
        <v>7</v>
      </c>
      <c r="B824" s="6" t="s">
        <v>769</v>
      </c>
      <c r="C824" s="10" t="s">
        <v>398</v>
      </c>
      <c r="D824" s="126"/>
      <c r="E824" s="104">
        <v>14100000</v>
      </c>
      <c r="F824" s="104"/>
      <c r="G824" s="168"/>
    </row>
    <row r="825" spans="1:7" s="169" customFormat="1">
      <c r="A825" s="31"/>
      <c r="B825" s="8" t="s">
        <v>772</v>
      </c>
      <c r="C825" s="12"/>
      <c r="D825" s="126"/>
      <c r="E825" s="104"/>
      <c r="F825" s="104"/>
      <c r="G825" s="168"/>
    </row>
    <row r="826" spans="1:7" s="169" customFormat="1">
      <c r="A826" s="31">
        <f>+A824+1</f>
        <v>8</v>
      </c>
      <c r="B826" s="6" t="s">
        <v>767</v>
      </c>
      <c r="C826" s="10" t="s">
        <v>398</v>
      </c>
      <c r="D826" s="126"/>
      <c r="E826" s="104">
        <v>7550000</v>
      </c>
      <c r="F826" s="104"/>
      <c r="G826" s="168"/>
    </row>
    <row r="827" spans="1:7" s="169" customFormat="1">
      <c r="A827" s="31">
        <f>+A826+1</f>
        <v>9</v>
      </c>
      <c r="B827" s="6" t="s">
        <v>768</v>
      </c>
      <c r="C827" s="10" t="s">
        <v>398</v>
      </c>
      <c r="D827" s="126"/>
      <c r="E827" s="104">
        <v>9800000</v>
      </c>
      <c r="F827" s="104"/>
      <c r="G827" s="168"/>
    </row>
    <row r="828" spans="1:7" s="169" customFormat="1">
      <c r="A828" s="31">
        <f>+A827+1</f>
        <v>10</v>
      </c>
      <c r="B828" s="6" t="s">
        <v>769</v>
      </c>
      <c r="C828" s="10" t="s">
        <v>398</v>
      </c>
      <c r="D828" s="126"/>
      <c r="E828" s="104">
        <v>14300000</v>
      </c>
      <c r="F828" s="104"/>
      <c r="G828" s="168"/>
    </row>
    <row r="829" spans="1:7" s="169" customFormat="1">
      <c r="A829" s="31"/>
      <c r="B829" s="8" t="s">
        <v>773</v>
      </c>
      <c r="C829" s="12"/>
      <c r="D829" s="126"/>
      <c r="E829" s="104"/>
      <c r="F829" s="104"/>
      <c r="G829" s="168"/>
    </row>
    <row r="830" spans="1:7" s="169" customFormat="1">
      <c r="A830" s="31">
        <f>+A828+1</f>
        <v>11</v>
      </c>
      <c r="B830" s="6" t="s">
        <v>767</v>
      </c>
      <c r="C830" s="10" t="s">
        <v>398</v>
      </c>
      <c r="D830" s="126"/>
      <c r="E830" s="104">
        <v>8000000</v>
      </c>
      <c r="F830" s="104"/>
      <c r="G830" s="168"/>
    </row>
    <row r="831" spans="1:7" s="169" customFormat="1">
      <c r="A831" s="31">
        <f>+A830+1</f>
        <v>12</v>
      </c>
      <c r="B831" s="6" t="s">
        <v>768</v>
      </c>
      <c r="C831" s="10" t="s">
        <v>398</v>
      </c>
      <c r="D831" s="126"/>
      <c r="E831" s="104">
        <v>10100000</v>
      </c>
      <c r="F831" s="104"/>
      <c r="G831" s="168"/>
    </row>
    <row r="832" spans="1:7" s="169" customFormat="1">
      <c r="A832" s="31"/>
      <c r="B832" s="8" t="s">
        <v>774</v>
      </c>
      <c r="C832" s="12"/>
      <c r="D832" s="126"/>
      <c r="E832" s="104"/>
      <c r="F832" s="104"/>
      <c r="G832" s="168"/>
    </row>
    <row r="833" spans="1:7" s="169" customFormat="1">
      <c r="A833" s="31">
        <f>+A831+1</f>
        <v>13</v>
      </c>
      <c r="B833" s="6" t="s">
        <v>767</v>
      </c>
      <c r="C833" s="10" t="s">
        <v>398</v>
      </c>
      <c r="D833" s="126"/>
      <c r="E833" s="104">
        <v>6100000</v>
      </c>
      <c r="F833" s="104"/>
      <c r="G833" s="168"/>
    </row>
    <row r="834" spans="1:7" s="169" customFormat="1">
      <c r="A834" s="31">
        <f>+A833+1</f>
        <v>14</v>
      </c>
      <c r="B834" s="6" t="s">
        <v>768</v>
      </c>
      <c r="C834" s="10" t="s">
        <v>398</v>
      </c>
      <c r="D834" s="126"/>
      <c r="E834" s="104">
        <v>7700000</v>
      </c>
      <c r="F834" s="104"/>
      <c r="G834" s="168"/>
    </row>
    <row r="835" spans="1:7" s="169" customFormat="1">
      <c r="A835" s="31">
        <f>+A834+1</f>
        <v>15</v>
      </c>
      <c r="B835" s="6" t="s">
        <v>769</v>
      </c>
      <c r="C835" s="10" t="s">
        <v>398</v>
      </c>
      <c r="D835" s="126"/>
      <c r="E835" s="104">
        <v>11500000</v>
      </c>
      <c r="F835" s="104"/>
      <c r="G835" s="168"/>
    </row>
    <row r="836" spans="1:7" s="169" customFormat="1">
      <c r="A836" s="34"/>
      <c r="B836" s="76" t="s">
        <v>775</v>
      </c>
      <c r="C836" s="36"/>
      <c r="D836" s="112"/>
      <c r="E836" s="112"/>
      <c r="F836" s="115"/>
      <c r="G836" s="168"/>
    </row>
    <row r="837" spans="1:7" s="169" customFormat="1">
      <c r="A837" s="31">
        <f>+A835+1</f>
        <v>16</v>
      </c>
      <c r="B837" s="6" t="s">
        <v>776</v>
      </c>
      <c r="C837" s="10" t="s">
        <v>398</v>
      </c>
      <c r="D837" s="105"/>
      <c r="E837" s="104">
        <v>25400000</v>
      </c>
      <c r="F837" s="104"/>
      <c r="G837" s="168"/>
    </row>
    <row r="838" spans="1:7" s="169" customFormat="1">
      <c r="A838" s="31">
        <f>+A837+1</f>
        <v>17</v>
      </c>
      <c r="B838" s="6" t="s">
        <v>777</v>
      </c>
      <c r="C838" s="10" t="s">
        <v>398</v>
      </c>
      <c r="D838" s="105"/>
      <c r="E838" s="104">
        <v>36950000</v>
      </c>
      <c r="F838" s="104"/>
      <c r="G838" s="168"/>
    </row>
    <row r="839" spans="1:7" s="169" customFormat="1">
      <c r="A839" s="31">
        <f t="shared" ref="A839:A847" si="33">+A838+1</f>
        <v>18</v>
      </c>
      <c r="B839" s="6" t="s">
        <v>778</v>
      </c>
      <c r="C839" s="10" t="s">
        <v>398</v>
      </c>
      <c r="D839" s="105"/>
      <c r="E839" s="104">
        <v>43000000</v>
      </c>
      <c r="F839" s="104"/>
      <c r="G839" s="168"/>
    </row>
    <row r="840" spans="1:7" s="169" customFormat="1">
      <c r="A840" s="31"/>
      <c r="B840" s="8" t="s">
        <v>779</v>
      </c>
      <c r="C840" s="10"/>
      <c r="D840" s="105"/>
      <c r="E840" s="104"/>
      <c r="F840" s="104"/>
      <c r="G840" s="168"/>
    </row>
    <row r="841" spans="1:7" s="169" customFormat="1">
      <c r="A841" s="31">
        <f>+A839+1</f>
        <v>19</v>
      </c>
      <c r="B841" s="6" t="s">
        <v>780</v>
      </c>
      <c r="C841" s="10" t="s">
        <v>398</v>
      </c>
      <c r="D841" s="105"/>
      <c r="E841" s="104">
        <v>24400000</v>
      </c>
      <c r="F841" s="104"/>
      <c r="G841" s="168"/>
    </row>
    <row r="842" spans="1:7" s="169" customFormat="1">
      <c r="A842" s="31">
        <f t="shared" si="33"/>
        <v>20</v>
      </c>
      <c r="B842" s="6" t="s">
        <v>781</v>
      </c>
      <c r="C842" s="10" t="s">
        <v>398</v>
      </c>
      <c r="D842" s="105"/>
      <c r="E842" s="104">
        <v>31950000</v>
      </c>
      <c r="F842" s="104"/>
      <c r="G842" s="168"/>
    </row>
    <row r="843" spans="1:7" s="169" customFormat="1">
      <c r="A843" s="31">
        <f t="shared" si="33"/>
        <v>21</v>
      </c>
      <c r="B843" s="6" t="s">
        <v>782</v>
      </c>
      <c r="C843" s="10" t="s">
        <v>398</v>
      </c>
      <c r="D843" s="105"/>
      <c r="E843" s="104">
        <v>39100000</v>
      </c>
      <c r="F843" s="104"/>
      <c r="G843" s="168"/>
    </row>
    <row r="844" spans="1:7" s="169" customFormat="1">
      <c r="A844" s="31">
        <f t="shared" si="33"/>
        <v>22</v>
      </c>
      <c r="B844" s="6" t="s">
        <v>783</v>
      </c>
      <c r="C844" s="10" t="s">
        <v>398</v>
      </c>
      <c r="D844" s="105"/>
      <c r="E844" s="104">
        <v>43200000</v>
      </c>
      <c r="F844" s="104"/>
      <c r="G844" s="168"/>
    </row>
    <row r="845" spans="1:7" s="169" customFormat="1">
      <c r="A845" s="31"/>
      <c r="B845" s="8" t="s">
        <v>784</v>
      </c>
      <c r="C845" s="10"/>
      <c r="D845" s="105"/>
      <c r="E845" s="104"/>
      <c r="F845" s="104"/>
      <c r="G845" s="168"/>
    </row>
    <row r="846" spans="1:7" s="169" customFormat="1">
      <c r="A846" s="31">
        <f>+A844+1</f>
        <v>23</v>
      </c>
      <c r="B846" s="6" t="s">
        <v>785</v>
      </c>
      <c r="C846" s="10" t="s">
        <v>398</v>
      </c>
      <c r="D846" s="105"/>
      <c r="E846" s="104">
        <v>41850000</v>
      </c>
      <c r="F846" s="104"/>
      <c r="G846" s="168"/>
    </row>
    <row r="847" spans="1:7" s="169" customFormat="1">
      <c r="A847" s="31">
        <f t="shared" si="33"/>
        <v>24</v>
      </c>
      <c r="B847" s="6" t="s">
        <v>786</v>
      </c>
      <c r="C847" s="10" t="s">
        <v>398</v>
      </c>
      <c r="D847" s="105"/>
      <c r="E847" s="104">
        <v>46200000</v>
      </c>
      <c r="F847" s="104"/>
      <c r="G847" s="168"/>
    </row>
    <row r="848" spans="1:7" s="169" customFormat="1">
      <c r="A848" s="31"/>
      <c r="B848" s="8" t="s">
        <v>787</v>
      </c>
      <c r="C848" s="10"/>
      <c r="D848" s="105"/>
      <c r="E848" s="104"/>
      <c r="F848" s="104"/>
      <c r="G848" s="168"/>
    </row>
    <row r="849" spans="1:7" s="169" customFormat="1">
      <c r="A849" s="37">
        <f>+A847+1</f>
        <v>25</v>
      </c>
      <c r="B849" s="78" t="s">
        <v>788</v>
      </c>
      <c r="C849" s="38" t="s">
        <v>398</v>
      </c>
      <c r="D849" s="117"/>
      <c r="E849" s="109">
        <v>84550000</v>
      </c>
      <c r="F849" s="109"/>
      <c r="G849" s="168"/>
    </row>
    <row r="850" spans="1:7" s="169" customFormat="1" ht="15.75">
      <c r="A850" s="175" t="s">
        <v>789</v>
      </c>
      <c r="B850" s="213" t="s">
        <v>790</v>
      </c>
      <c r="C850" s="213"/>
      <c r="D850" s="213"/>
      <c r="E850" s="213"/>
      <c r="F850" s="213"/>
      <c r="G850" s="168"/>
    </row>
    <row r="851" spans="1:7" s="169" customFormat="1" ht="30.6" customHeight="1">
      <c r="A851" s="31"/>
      <c r="B851" s="213" t="s">
        <v>791</v>
      </c>
      <c r="C851" s="213"/>
      <c r="D851" s="213"/>
      <c r="E851" s="213"/>
      <c r="F851" s="213"/>
      <c r="G851" s="168"/>
    </row>
    <row r="852" spans="1:7" s="169" customFormat="1">
      <c r="A852" s="31"/>
      <c r="B852" s="11" t="s">
        <v>792</v>
      </c>
      <c r="C852" s="72"/>
      <c r="D852" s="152"/>
      <c r="E852" s="152"/>
      <c r="F852" s="152"/>
      <c r="G852" s="168"/>
    </row>
    <row r="853" spans="1:7" s="169" customFormat="1">
      <c r="A853" s="31">
        <v>1</v>
      </c>
      <c r="B853" s="91" t="s">
        <v>793</v>
      </c>
      <c r="C853" s="10" t="s">
        <v>398</v>
      </c>
      <c r="D853" s="152"/>
      <c r="E853" s="104">
        <v>1430000</v>
      </c>
      <c r="F853" s="152"/>
      <c r="G853" s="168"/>
    </row>
    <row r="854" spans="1:7" s="169" customFormat="1">
      <c r="A854" s="31">
        <f>+A853+1</f>
        <v>2</v>
      </c>
      <c r="B854" s="91" t="s">
        <v>794</v>
      </c>
      <c r="C854" s="10" t="s">
        <v>398</v>
      </c>
      <c r="D854" s="152"/>
      <c r="E854" s="104">
        <v>680000</v>
      </c>
      <c r="F854" s="152"/>
      <c r="G854" s="168"/>
    </row>
    <row r="855" spans="1:7" s="169" customFormat="1">
      <c r="A855" s="31"/>
      <c r="B855" s="11" t="s">
        <v>795</v>
      </c>
      <c r="C855" s="72"/>
      <c r="D855" s="152"/>
      <c r="E855" s="152"/>
      <c r="F855" s="152"/>
      <c r="G855" s="168"/>
    </row>
    <row r="856" spans="1:7" s="169" customFormat="1">
      <c r="A856" s="31">
        <f>+A854+1</f>
        <v>3</v>
      </c>
      <c r="B856" s="91" t="s">
        <v>796</v>
      </c>
      <c r="C856" s="10" t="s">
        <v>135</v>
      </c>
      <c r="D856" s="104"/>
      <c r="E856" s="104">
        <v>917000</v>
      </c>
      <c r="F856" s="104"/>
      <c r="G856" s="168"/>
    </row>
    <row r="857" spans="1:7" s="169" customFormat="1">
      <c r="A857" s="31">
        <f>+A856+1</f>
        <v>4</v>
      </c>
      <c r="B857" s="11" t="s">
        <v>797</v>
      </c>
      <c r="C857" s="10"/>
      <c r="D857" s="104"/>
      <c r="E857" s="104"/>
      <c r="F857" s="104"/>
      <c r="G857" s="168"/>
    </row>
    <row r="858" spans="1:7" s="169" customFormat="1">
      <c r="A858" s="31">
        <f>+A857+1</f>
        <v>5</v>
      </c>
      <c r="B858" s="91" t="s">
        <v>798</v>
      </c>
      <c r="C858" s="10" t="s">
        <v>135</v>
      </c>
      <c r="D858" s="104"/>
      <c r="E858" s="104">
        <v>834000</v>
      </c>
      <c r="F858" s="104"/>
      <c r="G858" s="168"/>
    </row>
    <row r="859" spans="1:7" s="169" customFormat="1">
      <c r="A859" s="31"/>
      <c r="B859" s="11" t="s">
        <v>799</v>
      </c>
      <c r="C859" s="10"/>
      <c r="D859" s="104"/>
      <c r="E859" s="104"/>
      <c r="F859" s="104"/>
      <c r="G859" s="168"/>
    </row>
    <row r="860" spans="1:7" s="169" customFormat="1" ht="27">
      <c r="A860" s="39">
        <f>+A858+1</f>
        <v>6</v>
      </c>
      <c r="B860" s="92" t="s">
        <v>800</v>
      </c>
      <c r="C860" s="38" t="s">
        <v>398</v>
      </c>
      <c r="D860" s="109"/>
      <c r="E860" s="109">
        <v>770000</v>
      </c>
      <c r="F860" s="109"/>
      <c r="G860" s="168"/>
    </row>
    <row r="861" spans="1:7" s="169" customFormat="1" ht="15.75">
      <c r="A861" s="176" t="s">
        <v>801</v>
      </c>
      <c r="B861" s="213" t="s">
        <v>802</v>
      </c>
      <c r="C861" s="213"/>
      <c r="D861" s="213"/>
      <c r="E861" s="213"/>
      <c r="F861" s="213"/>
      <c r="G861" s="168"/>
    </row>
    <row r="862" spans="1:7" s="169" customFormat="1">
      <c r="A862" s="31">
        <v>1</v>
      </c>
      <c r="B862" s="6" t="s">
        <v>803</v>
      </c>
      <c r="C862" s="10" t="s">
        <v>78</v>
      </c>
      <c r="D862" s="126"/>
      <c r="E862" s="104">
        <f>260000/3</f>
        <v>86666.666666666672</v>
      </c>
      <c r="F862" s="104">
        <f>E862</f>
        <v>86666.666666666672</v>
      </c>
      <c r="G862" s="168"/>
    </row>
    <row r="863" spans="1:7" s="169" customFormat="1">
      <c r="A863" s="32">
        <f>+A862+1</f>
        <v>2</v>
      </c>
      <c r="B863" s="7" t="s">
        <v>804</v>
      </c>
      <c r="C863" s="33" t="s">
        <v>78</v>
      </c>
      <c r="D863" s="130"/>
      <c r="E863" s="106">
        <f>250000/3</f>
        <v>83333.333333333328</v>
      </c>
      <c r="F863" s="106">
        <f>E863</f>
        <v>83333.333333333328</v>
      </c>
      <c r="G863" s="168"/>
    </row>
    <row r="864" spans="1:7" s="169" customFormat="1" ht="26.1" customHeight="1">
      <c r="A864" s="34"/>
      <c r="B864" s="213" t="s">
        <v>805</v>
      </c>
      <c r="C864" s="213"/>
      <c r="D864" s="213"/>
      <c r="E864" s="213"/>
      <c r="F864" s="213"/>
      <c r="G864" s="168"/>
    </row>
    <row r="865" spans="1:7" s="169" customFormat="1">
      <c r="A865" s="31">
        <v>1</v>
      </c>
      <c r="B865" s="6" t="s">
        <v>806</v>
      </c>
      <c r="C865" s="10" t="s">
        <v>78</v>
      </c>
      <c r="D865" s="104"/>
      <c r="E865" s="104">
        <f>220000/40/1.1</f>
        <v>5000</v>
      </c>
      <c r="F865" s="104">
        <f>E865</f>
        <v>5000</v>
      </c>
      <c r="G865" s="168"/>
    </row>
    <row r="866" spans="1:7" s="169" customFormat="1">
      <c r="A866" s="34">
        <f t="shared" ref="A866:A882" si="34">+A865+1</f>
        <v>2</v>
      </c>
      <c r="B866" s="77" t="s">
        <v>807</v>
      </c>
      <c r="C866" s="36" t="s">
        <v>78</v>
      </c>
      <c r="D866" s="108"/>
      <c r="E866" s="108">
        <f>260000/40/1.1</f>
        <v>5909.090909090909</v>
      </c>
      <c r="F866" s="108">
        <f t="shared" ref="F866:F881" si="35">E866</f>
        <v>5909.090909090909</v>
      </c>
      <c r="G866" s="168"/>
    </row>
    <row r="867" spans="1:7" s="169" customFormat="1">
      <c r="A867" s="31">
        <f t="shared" si="34"/>
        <v>3</v>
      </c>
      <c r="B867" s="6" t="s">
        <v>808</v>
      </c>
      <c r="C867" s="10" t="s">
        <v>78</v>
      </c>
      <c r="D867" s="104"/>
      <c r="E867" s="104">
        <f>280000/40/1.1</f>
        <v>6363.6363636363631</v>
      </c>
      <c r="F867" s="104">
        <f t="shared" si="35"/>
        <v>6363.6363636363631</v>
      </c>
      <c r="G867" s="168"/>
    </row>
    <row r="868" spans="1:7" s="169" customFormat="1">
      <c r="A868" s="31">
        <f t="shared" si="34"/>
        <v>4</v>
      </c>
      <c r="B868" s="6" t="s">
        <v>809</v>
      </c>
      <c r="C868" s="10" t="s">
        <v>78</v>
      </c>
      <c r="D868" s="104"/>
      <c r="E868" s="104">
        <f>325000/40/1.1</f>
        <v>7386.363636363636</v>
      </c>
      <c r="F868" s="104">
        <f t="shared" si="35"/>
        <v>7386.363636363636</v>
      </c>
      <c r="G868" s="168"/>
    </row>
    <row r="869" spans="1:7" s="169" customFormat="1">
      <c r="A869" s="31">
        <f t="shared" si="34"/>
        <v>5</v>
      </c>
      <c r="B869" s="6" t="s">
        <v>810</v>
      </c>
      <c r="C869" s="10" t="s">
        <v>78</v>
      </c>
      <c r="D869" s="104"/>
      <c r="E869" s="104">
        <f>1417000/23.3/1.1</f>
        <v>55286.773312524376</v>
      </c>
      <c r="F869" s="104">
        <f t="shared" si="35"/>
        <v>55286.773312524376</v>
      </c>
      <c r="G869" s="168"/>
    </row>
    <row r="870" spans="1:7" s="169" customFormat="1">
      <c r="A870" s="31">
        <f t="shared" si="34"/>
        <v>6</v>
      </c>
      <c r="B870" s="6" t="s">
        <v>811</v>
      </c>
      <c r="C870" s="10" t="s">
        <v>78</v>
      </c>
      <c r="D870" s="104"/>
      <c r="E870" s="104">
        <f>1748000/24.1/1.1</f>
        <v>65937.382119954724</v>
      </c>
      <c r="F870" s="104">
        <f t="shared" si="35"/>
        <v>65937.382119954724</v>
      </c>
      <c r="G870" s="168"/>
    </row>
    <row r="871" spans="1:7" s="169" customFormat="1">
      <c r="A871" s="31">
        <f t="shared" si="34"/>
        <v>7</v>
      </c>
      <c r="B871" s="6" t="s">
        <v>812</v>
      </c>
      <c r="C871" s="10" t="s">
        <v>78</v>
      </c>
      <c r="D871" s="104"/>
      <c r="E871" s="104">
        <f>2490000/24.1/1.1</f>
        <v>93926.820067898894</v>
      </c>
      <c r="F871" s="104">
        <f t="shared" si="35"/>
        <v>93926.820067898894</v>
      </c>
      <c r="G871" s="168"/>
    </row>
    <row r="872" spans="1:7" s="169" customFormat="1">
      <c r="A872" s="31">
        <f t="shared" si="34"/>
        <v>8</v>
      </c>
      <c r="B872" s="6" t="s">
        <v>813</v>
      </c>
      <c r="C872" s="10" t="s">
        <v>814</v>
      </c>
      <c r="D872" s="104"/>
      <c r="E872" s="104">
        <f>787000/1.1</f>
        <v>715454.54545454541</v>
      </c>
      <c r="F872" s="104">
        <f>E872</f>
        <v>715454.54545454541</v>
      </c>
      <c r="G872" s="168"/>
    </row>
    <row r="873" spans="1:7" s="169" customFormat="1">
      <c r="A873" s="31">
        <f t="shared" si="34"/>
        <v>9</v>
      </c>
      <c r="B873" s="6" t="s">
        <v>815</v>
      </c>
      <c r="C873" s="10" t="s">
        <v>78</v>
      </c>
      <c r="D873" s="104"/>
      <c r="E873" s="104">
        <f>699000/1.1/4.5</f>
        <v>141212.12121212122</v>
      </c>
      <c r="F873" s="104">
        <f t="shared" si="35"/>
        <v>141212.12121212122</v>
      </c>
      <c r="G873" s="168"/>
    </row>
    <row r="874" spans="1:7" s="169" customFormat="1">
      <c r="A874" s="31">
        <f t="shared" si="34"/>
        <v>10</v>
      </c>
      <c r="B874" s="6" t="s">
        <v>816</v>
      </c>
      <c r="C874" s="10" t="s">
        <v>78</v>
      </c>
      <c r="D874" s="104"/>
      <c r="E874" s="104">
        <f>2589000/1.1/20.5</f>
        <v>114811.52993348114</v>
      </c>
      <c r="F874" s="104">
        <f t="shared" si="35"/>
        <v>114811.52993348114</v>
      </c>
      <c r="G874" s="168"/>
    </row>
    <row r="875" spans="1:7" s="169" customFormat="1">
      <c r="A875" s="31">
        <f t="shared" si="34"/>
        <v>11</v>
      </c>
      <c r="B875" s="6" t="s">
        <v>817</v>
      </c>
      <c r="C875" s="10" t="s">
        <v>78</v>
      </c>
      <c r="D875" s="104"/>
      <c r="E875" s="104">
        <f>702000/26.3/1.1</f>
        <v>24265.468371932249</v>
      </c>
      <c r="F875" s="104">
        <f t="shared" si="35"/>
        <v>24265.468371932249</v>
      </c>
      <c r="G875" s="168"/>
    </row>
    <row r="876" spans="1:7" s="169" customFormat="1">
      <c r="A876" s="31">
        <f t="shared" si="34"/>
        <v>12</v>
      </c>
      <c r="B876" s="6" t="s">
        <v>818</v>
      </c>
      <c r="C876" s="10" t="s">
        <v>78</v>
      </c>
      <c r="D876" s="104"/>
      <c r="E876" s="104">
        <f>1196000/26.3/1.1</f>
        <v>41341.168337366049</v>
      </c>
      <c r="F876" s="104">
        <f t="shared" si="35"/>
        <v>41341.168337366049</v>
      </c>
      <c r="G876" s="168"/>
    </row>
    <row r="877" spans="1:7" s="169" customFormat="1">
      <c r="A877" s="31">
        <f t="shared" si="34"/>
        <v>13</v>
      </c>
      <c r="B877" s="6" t="s">
        <v>819</v>
      </c>
      <c r="C877" s="10" t="s">
        <v>78</v>
      </c>
      <c r="D877" s="104"/>
      <c r="E877" s="104">
        <f>1814000/26.6/1.1</f>
        <v>61995.89883800409</v>
      </c>
      <c r="F877" s="104">
        <f t="shared" si="35"/>
        <v>61995.89883800409</v>
      </c>
      <c r="G877" s="168"/>
    </row>
    <row r="878" spans="1:7" s="169" customFormat="1">
      <c r="A878" s="31">
        <f t="shared" si="34"/>
        <v>14</v>
      </c>
      <c r="B878" s="6" t="s">
        <v>820</v>
      </c>
      <c r="C878" s="10" t="s">
        <v>78</v>
      </c>
      <c r="D878" s="104"/>
      <c r="E878" s="104">
        <f>1653000/24.6/1.1</f>
        <v>61086.474501108642</v>
      </c>
      <c r="F878" s="104">
        <f t="shared" si="35"/>
        <v>61086.474501108642</v>
      </c>
      <c r="G878" s="168"/>
    </row>
    <row r="879" spans="1:7" s="169" customFormat="1">
      <c r="A879" s="31">
        <f t="shared" si="34"/>
        <v>15</v>
      </c>
      <c r="B879" s="6" t="s">
        <v>821</v>
      </c>
      <c r="C879" s="10" t="s">
        <v>78</v>
      </c>
      <c r="D879" s="104"/>
      <c r="E879" s="104">
        <f>2708000/22/1.1</f>
        <v>111900.82644628097</v>
      </c>
      <c r="F879" s="104">
        <f t="shared" si="35"/>
        <v>111900.82644628097</v>
      </c>
      <c r="G879" s="168"/>
    </row>
    <row r="880" spans="1:7" s="169" customFormat="1">
      <c r="A880" s="31">
        <f t="shared" si="34"/>
        <v>16</v>
      </c>
      <c r="B880" s="6" t="s">
        <v>822</v>
      </c>
      <c r="C880" s="10" t="s">
        <v>78</v>
      </c>
      <c r="D880" s="104"/>
      <c r="E880" s="104">
        <f>1881000/24.6/1.1</f>
        <v>69512.195121951212</v>
      </c>
      <c r="F880" s="104">
        <f t="shared" si="35"/>
        <v>69512.195121951212</v>
      </c>
      <c r="G880" s="168"/>
    </row>
    <row r="881" spans="1:7" s="169" customFormat="1">
      <c r="A881" s="31">
        <f t="shared" si="34"/>
        <v>17</v>
      </c>
      <c r="B881" s="6" t="s">
        <v>823</v>
      </c>
      <c r="C881" s="10" t="s">
        <v>78</v>
      </c>
      <c r="D881" s="104"/>
      <c r="E881" s="104">
        <f>1251000/6.13/1.1</f>
        <v>185525.73038706806</v>
      </c>
      <c r="F881" s="104">
        <f t="shared" si="35"/>
        <v>185525.73038706806</v>
      </c>
      <c r="G881" s="168"/>
    </row>
    <row r="882" spans="1:7" s="169" customFormat="1">
      <c r="A882" s="32">
        <f t="shared" si="34"/>
        <v>18</v>
      </c>
      <c r="B882" s="7" t="s">
        <v>824</v>
      </c>
      <c r="C882" s="33" t="s">
        <v>78</v>
      </c>
      <c r="D882" s="106"/>
      <c r="E882" s="106">
        <f>1112000/5.7/1.1</f>
        <v>177352.47208931419</v>
      </c>
      <c r="F882" s="106">
        <f>E882</f>
        <v>177352.47208931419</v>
      </c>
      <c r="G882" s="168"/>
    </row>
    <row r="883" spans="1:7" s="169" customFormat="1" ht="36.6" customHeight="1">
      <c r="A883" s="34"/>
      <c r="B883" s="213" t="s">
        <v>825</v>
      </c>
      <c r="C883" s="213"/>
      <c r="D883" s="213"/>
      <c r="E883" s="213"/>
      <c r="F883" s="213"/>
      <c r="G883" s="168"/>
    </row>
    <row r="884" spans="1:7" s="169" customFormat="1">
      <c r="A884" s="31">
        <v>1</v>
      </c>
      <c r="B884" s="6" t="s">
        <v>826</v>
      </c>
      <c r="C884" s="10" t="s">
        <v>78</v>
      </c>
      <c r="D884" s="104"/>
      <c r="E884" s="104">
        <f>59000</f>
        <v>59000</v>
      </c>
      <c r="F884" s="104"/>
      <c r="G884" s="168"/>
    </row>
    <row r="885" spans="1:7" s="169" customFormat="1">
      <c r="A885" s="31">
        <f t="shared" ref="A885:A894" si="36">+A884+1</f>
        <v>2</v>
      </c>
      <c r="B885" s="6" t="s">
        <v>827</v>
      </c>
      <c r="C885" s="10" t="s">
        <v>78</v>
      </c>
      <c r="D885" s="104"/>
      <c r="E885" s="104">
        <v>78000</v>
      </c>
      <c r="F885" s="104"/>
      <c r="G885" s="168"/>
    </row>
    <row r="886" spans="1:7" s="169" customFormat="1">
      <c r="A886" s="31">
        <f t="shared" si="36"/>
        <v>3</v>
      </c>
      <c r="B886" s="6" t="s">
        <v>828</v>
      </c>
      <c r="C886" s="10" t="s">
        <v>78</v>
      </c>
      <c r="D886" s="104"/>
      <c r="E886" s="104">
        <v>80000</v>
      </c>
      <c r="F886" s="104"/>
      <c r="G886" s="168"/>
    </row>
    <row r="887" spans="1:7" s="169" customFormat="1">
      <c r="A887" s="32">
        <f t="shared" si="36"/>
        <v>4</v>
      </c>
      <c r="B887" s="7" t="s">
        <v>829</v>
      </c>
      <c r="C887" s="33" t="s">
        <v>78</v>
      </c>
      <c r="D887" s="106"/>
      <c r="E887" s="106">
        <f>229000/25</f>
        <v>9160</v>
      </c>
      <c r="F887" s="106"/>
      <c r="G887" s="168"/>
    </row>
    <row r="888" spans="1:7" s="169" customFormat="1" ht="33" customHeight="1">
      <c r="A888" s="34"/>
      <c r="B888" s="213" t="s">
        <v>830</v>
      </c>
      <c r="C888" s="213"/>
      <c r="D888" s="213"/>
      <c r="E888" s="213"/>
      <c r="F888" s="213"/>
      <c r="G888" s="168"/>
    </row>
    <row r="889" spans="1:7" s="169" customFormat="1">
      <c r="A889" s="31">
        <v>1</v>
      </c>
      <c r="B889" s="6" t="s">
        <v>831</v>
      </c>
      <c r="C889" s="10" t="s">
        <v>78</v>
      </c>
      <c r="D889" s="104"/>
      <c r="E889" s="104">
        <v>9600</v>
      </c>
      <c r="F889" s="104"/>
      <c r="G889" s="168"/>
    </row>
    <row r="890" spans="1:7" s="169" customFormat="1">
      <c r="A890" s="31">
        <f t="shared" si="36"/>
        <v>2</v>
      </c>
      <c r="B890" s="6" t="s">
        <v>832</v>
      </c>
      <c r="C890" s="10" t="s">
        <v>78</v>
      </c>
      <c r="D890" s="104"/>
      <c r="E890" s="104">
        <v>64000</v>
      </c>
      <c r="F890" s="104"/>
      <c r="G890" s="168"/>
    </row>
    <row r="891" spans="1:7" s="169" customFormat="1">
      <c r="A891" s="31">
        <f t="shared" si="36"/>
        <v>3</v>
      </c>
      <c r="B891" s="6" t="s">
        <v>833</v>
      </c>
      <c r="C891" s="10" t="s">
        <v>78</v>
      </c>
      <c r="D891" s="104"/>
      <c r="E891" s="104">
        <v>77000</v>
      </c>
      <c r="F891" s="104"/>
      <c r="G891" s="168"/>
    </row>
    <row r="892" spans="1:7" s="169" customFormat="1">
      <c r="A892" s="31">
        <f t="shared" si="36"/>
        <v>4</v>
      </c>
      <c r="B892" s="6" t="s">
        <v>834</v>
      </c>
      <c r="C892" s="10" t="s">
        <v>78</v>
      </c>
      <c r="D892" s="104"/>
      <c r="E892" s="104">
        <v>32000</v>
      </c>
      <c r="F892" s="104"/>
      <c r="G892" s="168"/>
    </row>
    <row r="893" spans="1:7" s="169" customFormat="1">
      <c r="A893" s="31">
        <f t="shared" si="36"/>
        <v>5</v>
      </c>
      <c r="B893" s="6" t="s">
        <v>835</v>
      </c>
      <c r="C893" s="10" t="s">
        <v>78</v>
      </c>
      <c r="D893" s="104"/>
      <c r="E893" s="104">
        <v>62000</v>
      </c>
      <c r="F893" s="104"/>
      <c r="G893" s="168"/>
    </row>
    <row r="894" spans="1:7" s="169" customFormat="1">
      <c r="A894" s="32">
        <f t="shared" si="36"/>
        <v>6</v>
      </c>
      <c r="B894" s="7" t="s">
        <v>836</v>
      </c>
      <c r="C894" s="33" t="s">
        <v>78</v>
      </c>
      <c r="D894" s="106"/>
      <c r="E894" s="104">
        <v>130000</v>
      </c>
      <c r="F894" s="106"/>
      <c r="G894" s="168"/>
    </row>
    <row r="895" spans="1:7" s="169" customFormat="1" ht="33.950000000000003" customHeight="1">
      <c r="A895" s="31"/>
      <c r="B895" s="213" t="s">
        <v>837</v>
      </c>
      <c r="C895" s="213"/>
      <c r="D895" s="213"/>
      <c r="E895" s="213"/>
      <c r="F895" s="213"/>
      <c r="G895" s="168"/>
    </row>
    <row r="896" spans="1:7" s="169" customFormat="1">
      <c r="A896" s="31">
        <v>1</v>
      </c>
      <c r="B896" s="6" t="s">
        <v>838</v>
      </c>
      <c r="C896" s="10" t="s">
        <v>78</v>
      </c>
      <c r="D896" s="105"/>
      <c r="E896" s="104">
        <v>47594</v>
      </c>
      <c r="F896" s="104"/>
      <c r="G896" s="168"/>
    </row>
    <row r="897" spans="1:7" s="169" customFormat="1">
      <c r="A897" s="31">
        <f>+A896+1</f>
        <v>2</v>
      </c>
      <c r="B897" s="6" t="s">
        <v>839</v>
      </c>
      <c r="C897" s="10" t="s">
        <v>78</v>
      </c>
      <c r="D897" s="105"/>
      <c r="E897" s="104">
        <v>105628</v>
      </c>
      <c r="F897" s="104"/>
      <c r="G897" s="168"/>
    </row>
    <row r="898" spans="1:7" s="169" customFormat="1">
      <c r="A898" s="31">
        <f t="shared" ref="A898:A903" si="37">+A897+1</f>
        <v>3</v>
      </c>
      <c r="B898" s="6" t="s">
        <v>840</v>
      </c>
      <c r="C898" s="10" t="s">
        <v>78</v>
      </c>
      <c r="D898" s="105"/>
      <c r="E898" s="104">
        <v>37128</v>
      </c>
      <c r="F898" s="104"/>
      <c r="G898" s="168"/>
    </row>
    <row r="899" spans="1:7" s="169" customFormat="1">
      <c r="A899" s="31">
        <f t="shared" si="37"/>
        <v>4</v>
      </c>
      <c r="B899" s="6" t="s">
        <v>841</v>
      </c>
      <c r="C899" s="10" t="s">
        <v>78</v>
      </c>
      <c r="D899" s="105"/>
      <c r="E899" s="104">
        <v>96081</v>
      </c>
      <c r="F899" s="104"/>
      <c r="G899" s="168"/>
    </row>
    <row r="900" spans="1:7" s="169" customFormat="1">
      <c r="A900" s="31">
        <f t="shared" si="37"/>
        <v>5</v>
      </c>
      <c r="B900" s="6" t="s">
        <v>842</v>
      </c>
      <c r="C900" s="10" t="s">
        <v>78</v>
      </c>
      <c r="D900" s="105"/>
      <c r="E900" s="104">
        <v>149351</v>
      </c>
      <c r="F900" s="104"/>
      <c r="G900" s="168"/>
    </row>
    <row r="901" spans="1:7" s="169" customFormat="1">
      <c r="A901" s="31">
        <f t="shared" si="37"/>
        <v>6</v>
      </c>
      <c r="B901" s="6" t="s">
        <v>843</v>
      </c>
      <c r="C901" s="10" t="s">
        <v>78</v>
      </c>
      <c r="D901" s="105"/>
      <c r="E901" s="104">
        <v>57721</v>
      </c>
      <c r="F901" s="104"/>
      <c r="G901" s="168"/>
    </row>
    <row r="902" spans="1:7" s="169" customFormat="1">
      <c r="A902" s="31">
        <f t="shared" si="37"/>
        <v>7</v>
      </c>
      <c r="B902" s="6" t="s">
        <v>844</v>
      </c>
      <c r="C902" s="10" t="s">
        <v>78</v>
      </c>
      <c r="D902" s="105"/>
      <c r="E902" s="104">
        <v>74871</v>
      </c>
      <c r="F902" s="104"/>
      <c r="G902" s="168"/>
    </row>
    <row r="903" spans="1:7" s="169" customFormat="1">
      <c r="A903" s="32">
        <f t="shared" si="37"/>
        <v>8</v>
      </c>
      <c r="B903" s="7" t="s">
        <v>845</v>
      </c>
      <c r="C903" s="33" t="s">
        <v>78</v>
      </c>
      <c r="D903" s="107"/>
      <c r="E903" s="106">
        <v>6341</v>
      </c>
      <c r="F903" s="106"/>
      <c r="G903" s="168"/>
    </row>
    <row r="904" spans="1:7" s="169" customFormat="1" ht="39.6" customHeight="1">
      <c r="A904" s="44"/>
      <c r="B904" s="213" t="s">
        <v>846</v>
      </c>
      <c r="C904" s="213"/>
      <c r="D904" s="213"/>
      <c r="E904" s="213"/>
      <c r="F904" s="213"/>
      <c r="G904" s="168"/>
    </row>
    <row r="905" spans="1:7" s="169" customFormat="1">
      <c r="A905" s="10">
        <v>1</v>
      </c>
      <c r="B905" s="6" t="s">
        <v>847</v>
      </c>
      <c r="C905" s="10" t="s">
        <v>78</v>
      </c>
      <c r="D905" s="116"/>
      <c r="E905" s="105"/>
      <c r="F905" s="104">
        <v>3900</v>
      </c>
      <c r="G905" s="168"/>
    </row>
    <row r="906" spans="1:7" s="169" customFormat="1">
      <c r="A906" s="10">
        <f t="shared" ref="A906:A911" si="38">+A905+1</f>
        <v>2</v>
      </c>
      <c r="B906" s="6" t="s">
        <v>848</v>
      </c>
      <c r="C906" s="10" t="s">
        <v>78</v>
      </c>
      <c r="D906" s="105"/>
      <c r="E906" s="105"/>
      <c r="F906" s="104">
        <v>4800</v>
      </c>
      <c r="G906" s="168"/>
    </row>
    <row r="907" spans="1:7" s="169" customFormat="1">
      <c r="A907" s="10">
        <f t="shared" si="38"/>
        <v>3</v>
      </c>
      <c r="B907" s="6" t="s">
        <v>849</v>
      </c>
      <c r="C907" s="10" t="s">
        <v>78</v>
      </c>
      <c r="D907" s="105"/>
      <c r="E907" s="105"/>
      <c r="F907" s="104">
        <v>33000</v>
      </c>
      <c r="G907" s="168"/>
    </row>
    <row r="908" spans="1:7" s="169" customFormat="1">
      <c r="A908" s="10">
        <f t="shared" si="38"/>
        <v>4</v>
      </c>
      <c r="B908" s="6" t="s">
        <v>850</v>
      </c>
      <c r="C908" s="10" t="s">
        <v>78</v>
      </c>
      <c r="D908" s="105"/>
      <c r="E908" s="105"/>
      <c r="F908" s="104">
        <v>21000</v>
      </c>
      <c r="G908" s="168"/>
    </row>
    <row r="909" spans="1:7" s="169" customFormat="1">
      <c r="A909" s="10">
        <f t="shared" si="38"/>
        <v>5</v>
      </c>
      <c r="B909" s="6" t="s">
        <v>851</v>
      </c>
      <c r="C909" s="10" t="s">
        <v>78</v>
      </c>
      <c r="D909" s="105"/>
      <c r="E909" s="105"/>
      <c r="F909" s="104">
        <v>24000</v>
      </c>
      <c r="G909" s="168"/>
    </row>
    <row r="910" spans="1:7" s="169" customFormat="1">
      <c r="A910" s="10">
        <f t="shared" si="38"/>
        <v>6</v>
      </c>
      <c r="B910" s="6" t="s">
        <v>852</v>
      </c>
      <c r="C910" s="10" t="s">
        <v>78</v>
      </c>
      <c r="D910" s="105"/>
      <c r="E910" s="105"/>
      <c r="F910" s="104">
        <v>34000</v>
      </c>
      <c r="G910" s="168"/>
    </row>
    <row r="911" spans="1:7" s="169" customFormat="1">
      <c r="A911" s="32">
        <f t="shared" si="38"/>
        <v>7</v>
      </c>
      <c r="B911" s="7" t="s">
        <v>853</v>
      </c>
      <c r="C911" s="33" t="s">
        <v>78</v>
      </c>
      <c r="D911" s="107"/>
      <c r="E911" s="107"/>
      <c r="F911" s="106">
        <v>40000</v>
      </c>
      <c r="G911" s="168"/>
    </row>
    <row r="912" spans="1:7" s="169" customFormat="1" ht="39" customHeight="1">
      <c r="A912" s="44"/>
      <c r="B912" s="213" t="s">
        <v>854</v>
      </c>
      <c r="C912" s="213"/>
      <c r="D912" s="213"/>
      <c r="E912" s="213"/>
      <c r="F912" s="213"/>
      <c r="G912" s="168"/>
    </row>
    <row r="913" spans="1:7" s="169" customFormat="1">
      <c r="A913" s="31">
        <v>1</v>
      </c>
      <c r="B913" s="6" t="s">
        <v>855</v>
      </c>
      <c r="C913" s="10" t="s">
        <v>78</v>
      </c>
      <c r="D913" s="105"/>
      <c r="E913" s="105"/>
      <c r="F913" s="104">
        <v>4875</v>
      </c>
      <c r="G913" s="168"/>
    </row>
    <row r="914" spans="1:7" s="169" customFormat="1">
      <c r="A914" s="31">
        <f>+A913+1</f>
        <v>2</v>
      </c>
      <c r="B914" s="6" t="s">
        <v>856</v>
      </c>
      <c r="C914" s="10" t="s">
        <v>78</v>
      </c>
      <c r="D914" s="105"/>
      <c r="E914" s="105"/>
      <c r="F914" s="104">
        <v>41500</v>
      </c>
      <c r="G914" s="168"/>
    </row>
    <row r="915" spans="1:7" s="169" customFormat="1">
      <c r="A915" s="31">
        <f>+A914+1</f>
        <v>3</v>
      </c>
      <c r="B915" s="6" t="s">
        <v>857</v>
      </c>
      <c r="C915" s="10" t="s">
        <v>78</v>
      </c>
      <c r="D915" s="105"/>
      <c r="E915" s="105"/>
      <c r="F915" s="104">
        <v>13500</v>
      </c>
      <c r="G915" s="168"/>
    </row>
    <row r="916" spans="1:7" s="169" customFormat="1">
      <c r="A916" s="31">
        <f>+A915+1</f>
        <v>4</v>
      </c>
      <c r="B916" s="6" t="s">
        <v>858</v>
      </c>
      <c r="C916" s="10" t="s">
        <v>78</v>
      </c>
      <c r="D916" s="105"/>
      <c r="E916" s="105"/>
      <c r="F916" s="104">
        <v>15500</v>
      </c>
      <c r="G916" s="168"/>
    </row>
    <row r="917" spans="1:7" s="169" customFormat="1">
      <c r="A917" s="32">
        <f>+A916+1</f>
        <v>5</v>
      </c>
      <c r="B917" s="7" t="s">
        <v>859</v>
      </c>
      <c r="C917" s="33" t="s">
        <v>78</v>
      </c>
      <c r="D917" s="107"/>
      <c r="E917" s="107"/>
      <c r="F917" s="106">
        <v>26000</v>
      </c>
      <c r="G917" s="168"/>
    </row>
    <row r="918" spans="1:7" s="169" customFormat="1" ht="36.6" customHeight="1">
      <c r="A918" s="44"/>
      <c r="B918" s="213" t="s">
        <v>860</v>
      </c>
      <c r="C918" s="213"/>
      <c r="D918" s="213"/>
      <c r="E918" s="213"/>
      <c r="F918" s="213"/>
      <c r="G918" s="168"/>
    </row>
    <row r="919" spans="1:7" s="169" customFormat="1">
      <c r="A919" s="10">
        <v>1</v>
      </c>
      <c r="B919" s="6" t="s">
        <v>861</v>
      </c>
      <c r="C919" s="10" t="s">
        <v>78</v>
      </c>
      <c r="D919" s="105"/>
      <c r="E919" s="104">
        <f>9263/1.1</f>
        <v>8420.9090909090901</v>
      </c>
      <c r="F919" s="104"/>
      <c r="G919" s="168"/>
    </row>
    <row r="920" spans="1:7" s="169" customFormat="1">
      <c r="A920" s="10">
        <f>+A919+1</f>
        <v>2</v>
      </c>
      <c r="B920" s="6" t="s">
        <v>862</v>
      </c>
      <c r="C920" s="10" t="s">
        <v>78</v>
      </c>
      <c r="D920" s="105"/>
      <c r="E920" s="104">
        <f>7050/1.1</f>
        <v>6409.090909090909</v>
      </c>
      <c r="F920" s="104"/>
      <c r="G920" s="168"/>
    </row>
    <row r="921" spans="1:7" s="169" customFormat="1">
      <c r="A921" s="10">
        <f>+A920+1</f>
        <v>3</v>
      </c>
      <c r="B921" s="6" t="s">
        <v>863</v>
      </c>
      <c r="C921" s="10" t="s">
        <v>78</v>
      </c>
      <c r="D921" s="105"/>
      <c r="E921" s="104">
        <f>142222/1.1</f>
        <v>129292.72727272726</v>
      </c>
      <c r="F921" s="104"/>
      <c r="G921" s="168"/>
    </row>
    <row r="922" spans="1:7" s="169" customFormat="1">
      <c r="A922" s="36">
        <v>4</v>
      </c>
      <c r="B922" s="77" t="s">
        <v>864</v>
      </c>
      <c r="C922" s="36" t="s">
        <v>78</v>
      </c>
      <c r="D922" s="112"/>
      <c r="E922" s="108">
        <f>102881/1.1</f>
        <v>93528.181818181809</v>
      </c>
      <c r="F922" s="108"/>
      <c r="G922" s="168"/>
    </row>
    <row r="923" spans="1:7" s="169" customFormat="1" ht="20.100000000000001" customHeight="1">
      <c r="A923" s="43"/>
      <c r="B923" s="213" t="s">
        <v>865</v>
      </c>
      <c r="C923" s="213"/>
      <c r="D923" s="213"/>
      <c r="E923" s="213"/>
      <c r="F923" s="213"/>
      <c r="G923" s="168"/>
    </row>
    <row r="924" spans="1:7" s="169" customFormat="1">
      <c r="A924" s="10">
        <v>1</v>
      </c>
      <c r="B924" s="6" t="s">
        <v>866</v>
      </c>
      <c r="C924" s="10" t="s">
        <v>78</v>
      </c>
      <c r="D924" s="105"/>
      <c r="E924" s="104">
        <v>5000</v>
      </c>
      <c r="F924" s="104">
        <v>5000</v>
      </c>
      <c r="G924" s="168"/>
    </row>
    <row r="925" spans="1:7" s="169" customFormat="1">
      <c r="A925" s="10">
        <f>+A924+1</f>
        <v>2</v>
      </c>
      <c r="B925" s="6" t="s">
        <v>867</v>
      </c>
      <c r="C925" s="10" t="s">
        <v>78</v>
      </c>
      <c r="D925" s="105"/>
      <c r="E925" s="104">
        <v>6000</v>
      </c>
      <c r="F925" s="104">
        <v>6000</v>
      </c>
      <c r="G925" s="168"/>
    </row>
    <row r="926" spans="1:7" s="169" customFormat="1">
      <c r="A926" s="10">
        <f>+A925+1</f>
        <v>3</v>
      </c>
      <c r="B926" s="6" t="s">
        <v>868</v>
      </c>
      <c r="C926" s="10" t="s">
        <v>78</v>
      </c>
      <c r="D926" s="105"/>
      <c r="E926" s="104">
        <v>35000</v>
      </c>
      <c r="F926" s="104">
        <v>35000</v>
      </c>
      <c r="G926" s="168"/>
    </row>
    <row r="927" spans="1:7" s="169" customFormat="1">
      <c r="A927" s="10">
        <f>+A926+1</f>
        <v>4</v>
      </c>
      <c r="B927" s="6" t="s">
        <v>869</v>
      </c>
      <c r="C927" s="10" t="s">
        <v>78</v>
      </c>
      <c r="D927" s="105"/>
      <c r="E927" s="104">
        <v>50000</v>
      </c>
      <c r="F927" s="104">
        <v>50000</v>
      </c>
      <c r="G927" s="168"/>
    </row>
    <row r="928" spans="1:7" s="169" customFormat="1">
      <c r="A928" s="10">
        <f>+A927+1</f>
        <v>5</v>
      </c>
      <c r="B928" s="6" t="s">
        <v>870</v>
      </c>
      <c r="C928" s="10" t="s">
        <v>78</v>
      </c>
      <c r="D928" s="105"/>
      <c r="E928" s="104">
        <v>85000</v>
      </c>
      <c r="F928" s="104">
        <v>85000</v>
      </c>
      <c r="G928" s="168"/>
    </row>
    <row r="929" spans="1:7" s="169" customFormat="1">
      <c r="A929" s="38">
        <f>+A928+1</f>
        <v>6</v>
      </c>
      <c r="B929" s="78" t="s">
        <v>871</v>
      </c>
      <c r="C929" s="38" t="s">
        <v>78</v>
      </c>
      <c r="D929" s="117"/>
      <c r="E929" s="109">
        <v>110000</v>
      </c>
      <c r="F929" s="109">
        <v>110000</v>
      </c>
      <c r="G929" s="168"/>
    </row>
    <row r="930" spans="1:7" s="169" customFormat="1" ht="47.1" customHeight="1">
      <c r="A930" s="45"/>
      <c r="B930" s="213" t="s">
        <v>872</v>
      </c>
      <c r="C930" s="213"/>
      <c r="D930" s="213"/>
      <c r="E930" s="213"/>
      <c r="F930" s="213"/>
      <c r="G930" s="168"/>
    </row>
    <row r="931" spans="1:7" s="169" customFormat="1" ht="27">
      <c r="A931" s="31">
        <v>1</v>
      </c>
      <c r="B931" s="6" t="s">
        <v>873</v>
      </c>
      <c r="C931" s="10" t="s">
        <v>78</v>
      </c>
      <c r="D931" s="104"/>
      <c r="E931" s="104">
        <f>1106000/1.37/18</f>
        <v>44849.959448499591</v>
      </c>
      <c r="F931" s="104"/>
      <c r="G931" s="168"/>
    </row>
    <row r="932" spans="1:7" s="169" customFormat="1" ht="27">
      <c r="A932" s="31">
        <f t="shared" ref="A932:A943" si="39">+A931+1</f>
        <v>2</v>
      </c>
      <c r="B932" s="6" t="s">
        <v>874</v>
      </c>
      <c r="C932" s="10" t="s">
        <v>78</v>
      </c>
      <c r="D932" s="104"/>
      <c r="E932" s="104">
        <f>884818/1.35/18</f>
        <v>36412.263374485592</v>
      </c>
      <c r="F932" s="104"/>
      <c r="G932" s="168"/>
    </row>
    <row r="933" spans="1:7" s="169" customFormat="1">
      <c r="A933" s="31">
        <f t="shared" si="39"/>
        <v>3</v>
      </c>
      <c r="B933" s="6" t="s">
        <v>875</v>
      </c>
      <c r="C933" s="10" t="s">
        <v>78</v>
      </c>
      <c r="D933" s="104"/>
      <c r="E933" s="104">
        <f>1405545/1.25/18</f>
        <v>62468.666666666664</v>
      </c>
      <c r="F933" s="104"/>
      <c r="G933" s="168"/>
    </row>
    <row r="934" spans="1:7" s="169" customFormat="1">
      <c r="A934" s="31">
        <f t="shared" si="39"/>
        <v>4</v>
      </c>
      <c r="B934" s="6" t="s">
        <v>876</v>
      </c>
      <c r="C934" s="10" t="s">
        <v>78</v>
      </c>
      <c r="D934" s="104"/>
      <c r="E934" s="104">
        <f>265545/40</f>
        <v>6638.625</v>
      </c>
      <c r="F934" s="104"/>
      <c r="G934" s="168"/>
    </row>
    <row r="935" spans="1:7" s="169" customFormat="1">
      <c r="A935" s="31">
        <f t="shared" si="39"/>
        <v>5</v>
      </c>
      <c r="B935" s="6" t="s">
        <v>877</v>
      </c>
      <c r="C935" s="10" t="s">
        <v>78</v>
      </c>
      <c r="D935" s="104"/>
      <c r="E935" s="104">
        <f>237182/40</f>
        <v>5929.55</v>
      </c>
      <c r="F935" s="104"/>
      <c r="G935" s="168"/>
    </row>
    <row r="936" spans="1:7" s="169" customFormat="1">
      <c r="A936" s="31">
        <f t="shared" si="39"/>
        <v>6</v>
      </c>
      <c r="B936" s="6" t="s">
        <v>878</v>
      </c>
      <c r="C936" s="10" t="s">
        <v>78</v>
      </c>
      <c r="D936" s="104"/>
      <c r="E936" s="104">
        <f>889455/1.4/18</f>
        <v>35295.833333333336</v>
      </c>
      <c r="F936" s="104"/>
      <c r="G936" s="168"/>
    </row>
    <row r="937" spans="1:7" s="169" customFormat="1">
      <c r="A937" s="31">
        <f t="shared" si="39"/>
        <v>7</v>
      </c>
      <c r="B937" s="6" t="s">
        <v>879</v>
      </c>
      <c r="C937" s="10" t="s">
        <v>78</v>
      </c>
      <c r="D937" s="104"/>
      <c r="E937" s="104">
        <f>682091/1.4/18</f>
        <v>27067.103174603177</v>
      </c>
      <c r="F937" s="104"/>
      <c r="G937" s="168"/>
    </row>
    <row r="938" spans="1:7" s="169" customFormat="1">
      <c r="A938" s="31">
        <f t="shared" si="39"/>
        <v>8</v>
      </c>
      <c r="B938" s="6" t="s">
        <v>880</v>
      </c>
      <c r="C938" s="10" t="s">
        <v>78</v>
      </c>
      <c r="D938" s="104"/>
      <c r="E938" s="104">
        <f>832364/1.3/18</f>
        <v>35571.111111111109</v>
      </c>
      <c r="F938" s="104"/>
      <c r="G938" s="168"/>
    </row>
    <row r="939" spans="1:7" s="169" customFormat="1">
      <c r="A939" s="31">
        <f t="shared" si="39"/>
        <v>9</v>
      </c>
      <c r="B939" s="6" t="s">
        <v>881</v>
      </c>
      <c r="C939" s="10" t="s">
        <v>78</v>
      </c>
      <c r="D939" s="104"/>
      <c r="E939" s="104">
        <f>212182/40</f>
        <v>5304.55</v>
      </c>
      <c r="F939" s="104"/>
      <c r="G939" s="168"/>
    </row>
    <row r="940" spans="1:7" s="169" customFormat="1">
      <c r="A940" s="31">
        <f t="shared" si="39"/>
        <v>10</v>
      </c>
      <c r="B940" s="6" t="s">
        <v>882</v>
      </c>
      <c r="C940" s="10" t="s">
        <v>78</v>
      </c>
      <c r="D940" s="104"/>
      <c r="E940" s="104">
        <f>185545/40</f>
        <v>4638.625</v>
      </c>
      <c r="F940" s="104"/>
      <c r="G940" s="168"/>
    </row>
    <row r="941" spans="1:7" s="169" customFormat="1">
      <c r="A941" s="31">
        <f t="shared" si="39"/>
        <v>11</v>
      </c>
      <c r="B941" s="6" t="s">
        <v>883</v>
      </c>
      <c r="C941" s="10" t="s">
        <v>78</v>
      </c>
      <c r="D941" s="104"/>
      <c r="E941" s="104">
        <f>1585273/1.05/17.5</f>
        <v>86273.360544217678</v>
      </c>
      <c r="F941" s="104"/>
      <c r="G941" s="168"/>
    </row>
    <row r="942" spans="1:7" s="169" customFormat="1">
      <c r="A942" s="31">
        <f t="shared" si="39"/>
        <v>12</v>
      </c>
      <c r="B942" s="6" t="s">
        <v>884</v>
      </c>
      <c r="C942" s="10" t="s">
        <v>78</v>
      </c>
      <c r="D942" s="104"/>
      <c r="E942" s="104">
        <f>1150273/1.42/17.5</f>
        <v>46288.65191146882</v>
      </c>
      <c r="F942" s="104"/>
      <c r="G942" s="168"/>
    </row>
    <row r="943" spans="1:7" s="169" customFormat="1">
      <c r="A943" s="41">
        <f t="shared" si="39"/>
        <v>13</v>
      </c>
      <c r="B943" s="79" t="s">
        <v>885</v>
      </c>
      <c r="C943" s="42" t="s">
        <v>78</v>
      </c>
      <c r="D943" s="113"/>
      <c r="E943" s="113">
        <f>1295273/1.42/17.5</f>
        <v>52123.661971830988</v>
      </c>
      <c r="F943" s="113"/>
      <c r="G943" s="168"/>
    </row>
    <row r="944" spans="1:7" s="169" customFormat="1" ht="15.75">
      <c r="A944" s="176" t="s">
        <v>886</v>
      </c>
      <c r="B944" s="213" t="s">
        <v>887</v>
      </c>
      <c r="C944" s="213"/>
      <c r="D944" s="213"/>
      <c r="E944" s="213"/>
      <c r="F944" s="213"/>
      <c r="G944" s="168"/>
    </row>
    <row r="945" spans="1:7" s="169" customFormat="1" ht="15" customHeight="1">
      <c r="A945" s="30"/>
      <c r="B945" s="213" t="s">
        <v>888</v>
      </c>
      <c r="C945" s="213"/>
      <c r="D945" s="213"/>
      <c r="E945" s="213"/>
      <c r="F945" s="213"/>
      <c r="G945" s="168"/>
    </row>
    <row r="946" spans="1:7" s="169" customFormat="1">
      <c r="A946" s="30"/>
      <c r="B946" s="8" t="s">
        <v>889</v>
      </c>
      <c r="C946" s="50"/>
      <c r="D946" s="127"/>
      <c r="E946" s="127"/>
      <c r="F946" s="143"/>
      <c r="G946" s="168"/>
    </row>
    <row r="947" spans="1:7" s="169" customFormat="1">
      <c r="A947" s="34">
        <v>1</v>
      </c>
      <c r="B947" s="6" t="s">
        <v>890</v>
      </c>
      <c r="C947" s="10" t="s">
        <v>142</v>
      </c>
      <c r="D947" s="104"/>
      <c r="E947" s="104">
        <v>4500</v>
      </c>
      <c r="F947" s="104">
        <v>4500</v>
      </c>
      <c r="G947" s="168"/>
    </row>
    <row r="948" spans="1:7" s="169" customFormat="1">
      <c r="A948" s="34">
        <f>+A947+1</f>
        <v>2</v>
      </c>
      <c r="B948" s="6" t="s">
        <v>891</v>
      </c>
      <c r="C948" s="10" t="s">
        <v>142</v>
      </c>
      <c r="D948" s="104"/>
      <c r="E948" s="104">
        <v>5900</v>
      </c>
      <c r="F948" s="104">
        <v>5900</v>
      </c>
      <c r="G948" s="168"/>
    </row>
    <row r="949" spans="1:7" s="169" customFormat="1">
      <c r="A949" s="34">
        <f t="shared" ref="A949:A1012" si="40">+A948+1</f>
        <v>3</v>
      </c>
      <c r="B949" s="6" t="s">
        <v>892</v>
      </c>
      <c r="C949" s="10" t="s">
        <v>142</v>
      </c>
      <c r="D949" s="104"/>
      <c r="E949" s="104">
        <v>7200</v>
      </c>
      <c r="F949" s="104">
        <v>7200</v>
      </c>
      <c r="G949" s="168"/>
    </row>
    <row r="950" spans="1:7" s="169" customFormat="1">
      <c r="A950" s="34">
        <f t="shared" si="40"/>
        <v>4</v>
      </c>
      <c r="B950" s="6" t="s">
        <v>893</v>
      </c>
      <c r="C950" s="10" t="s">
        <v>142</v>
      </c>
      <c r="D950" s="104"/>
      <c r="E950" s="104">
        <v>9700</v>
      </c>
      <c r="F950" s="104">
        <v>9700</v>
      </c>
      <c r="G950" s="168"/>
    </row>
    <row r="951" spans="1:7" s="169" customFormat="1">
      <c r="A951" s="34">
        <f t="shared" si="40"/>
        <v>5</v>
      </c>
      <c r="B951" s="6" t="s">
        <v>894</v>
      </c>
      <c r="C951" s="10" t="s">
        <v>142</v>
      </c>
      <c r="D951" s="104"/>
      <c r="E951" s="104">
        <v>14200</v>
      </c>
      <c r="F951" s="104">
        <v>14200</v>
      </c>
      <c r="G951" s="168"/>
    </row>
    <row r="952" spans="1:7" s="169" customFormat="1">
      <c r="A952" s="34">
        <f t="shared" si="40"/>
        <v>6</v>
      </c>
      <c r="B952" s="6" t="s">
        <v>895</v>
      </c>
      <c r="C952" s="10" t="s">
        <v>142</v>
      </c>
      <c r="D952" s="104"/>
      <c r="E952" s="104">
        <v>21900</v>
      </c>
      <c r="F952" s="104">
        <v>21900</v>
      </c>
      <c r="G952" s="168"/>
    </row>
    <row r="953" spans="1:7" s="169" customFormat="1">
      <c r="A953" s="34">
        <f t="shared" si="40"/>
        <v>7</v>
      </c>
      <c r="B953" s="6" t="s">
        <v>896</v>
      </c>
      <c r="C953" s="10" t="s">
        <v>142</v>
      </c>
      <c r="D953" s="104"/>
      <c r="E953" s="104">
        <v>24800</v>
      </c>
      <c r="F953" s="104">
        <v>24800</v>
      </c>
      <c r="G953" s="168"/>
    </row>
    <row r="954" spans="1:7" s="169" customFormat="1">
      <c r="A954" s="34">
        <f t="shared" si="40"/>
        <v>8</v>
      </c>
      <c r="B954" s="6" t="s">
        <v>897</v>
      </c>
      <c r="C954" s="10" t="s">
        <v>142</v>
      </c>
      <c r="D954" s="104"/>
      <c r="E954" s="104">
        <v>34500</v>
      </c>
      <c r="F954" s="104">
        <v>34500</v>
      </c>
      <c r="G954" s="168"/>
    </row>
    <row r="955" spans="1:7" s="169" customFormat="1">
      <c r="A955" s="34">
        <f t="shared" si="40"/>
        <v>9</v>
      </c>
      <c r="B955" s="6" t="s">
        <v>898</v>
      </c>
      <c r="C955" s="10" t="s">
        <v>142</v>
      </c>
      <c r="D955" s="104"/>
      <c r="E955" s="104">
        <v>38400</v>
      </c>
      <c r="F955" s="104">
        <v>38400</v>
      </c>
      <c r="G955" s="168"/>
    </row>
    <row r="956" spans="1:7" s="169" customFormat="1">
      <c r="A956" s="34">
        <f t="shared" si="40"/>
        <v>10</v>
      </c>
      <c r="B956" s="6" t="s">
        <v>899</v>
      </c>
      <c r="C956" s="10" t="s">
        <v>142</v>
      </c>
      <c r="D956" s="104"/>
      <c r="E956" s="104">
        <v>60100</v>
      </c>
      <c r="F956" s="104">
        <v>60100</v>
      </c>
      <c r="G956" s="168"/>
    </row>
    <row r="957" spans="1:7" s="169" customFormat="1">
      <c r="A957" s="34">
        <f t="shared" si="40"/>
        <v>11</v>
      </c>
      <c r="B957" s="6" t="s">
        <v>900</v>
      </c>
      <c r="C957" s="10" t="s">
        <v>142</v>
      </c>
      <c r="D957" s="104"/>
      <c r="E957" s="104">
        <v>116300</v>
      </c>
      <c r="F957" s="104">
        <v>116300</v>
      </c>
      <c r="G957" s="168"/>
    </row>
    <row r="958" spans="1:7" s="169" customFormat="1">
      <c r="A958" s="34">
        <f t="shared" si="40"/>
        <v>12</v>
      </c>
      <c r="B958" s="6" t="s">
        <v>901</v>
      </c>
      <c r="C958" s="10" t="s">
        <v>142</v>
      </c>
      <c r="D958" s="104"/>
      <c r="E958" s="104">
        <v>129000</v>
      </c>
      <c r="F958" s="104">
        <v>129000</v>
      </c>
      <c r="G958" s="168"/>
    </row>
    <row r="959" spans="1:7" s="169" customFormat="1">
      <c r="A959" s="34">
        <f t="shared" si="40"/>
        <v>13</v>
      </c>
      <c r="B959" s="6" t="s">
        <v>902</v>
      </c>
      <c r="C959" s="10" t="s">
        <v>142</v>
      </c>
      <c r="D959" s="104"/>
      <c r="E959" s="104">
        <v>196300</v>
      </c>
      <c r="F959" s="104">
        <v>196300</v>
      </c>
      <c r="G959" s="168"/>
    </row>
    <row r="960" spans="1:7" s="169" customFormat="1">
      <c r="A960" s="34"/>
      <c r="B960" s="8" t="s">
        <v>903</v>
      </c>
      <c r="C960" s="12"/>
      <c r="D960" s="104"/>
      <c r="E960" s="123"/>
      <c r="F960" s="104"/>
      <c r="G960" s="168"/>
    </row>
    <row r="961" spans="1:7" s="169" customFormat="1">
      <c r="A961" s="34">
        <f>+A959+1</f>
        <v>14</v>
      </c>
      <c r="B961" s="6" t="s">
        <v>904</v>
      </c>
      <c r="C961" s="10" t="s">
        <v>142</v>
      </c>
      <c r="D961" s="104"/>
      <c r="E961" s="104">
        <v>6200</v>
      </c>
      <c r="F961" s="104">
        <v>6200</v>
      </c>
      <c r="G961" s="168"/>
    </row>
    <row r="962" spans="1:7" s="169" customFormat="1">
      <c r="A962" s="34">
        <f t="shared" si="40"/>
        <v>15</v>
      </c>
      <c r="B962" s="6" t="s">
        <v>905</v>
      </c>
      <c r="C962" s="10" t="s">
        <v>142</v>
      </c>
      <c r="D962" s="104"/>
      <c r="E962" s="104">
        <v>8800</v>
      </c>
      <c r="F962" s="104">
        <v>8800</v>
      </c>
      <c r="G962" s="168"/>
    </row>
    <row r="963" spans="1:7" s="169" customFormat="1">
      <c r="A963" s="34">
        <f t="shared" si="40"/>
        <v>16</v>
      </c>
      <c r="B963" s="6" t="s">
        <v>906</v>
      </c>
      <c r="C963" s="10" t="s">
        <v>142</v>
      </c>
      <c r="D963" s="104"/>
      <c r="E963" s="104">
        <v>12300</v>
      </c>
      <c r="F963" s="104">
        <v>12300</v>
      </c>
      <c r="G963" s="168"/>
    </row>
    <row r="964" spans="1:7" s="169" customFormat="1">
      <c r="A964" s="34">
        <f t="shared" si="40"/>
        <v>17</v>
      </c>
      <c r="B964" s="6" t="s">
        <v>907</v>
      </c>
      <c r="C964" s="10" t="s">
        <v>142</v>
      </c>
      <c r="D964" s="104"/>
      <c r="E964" s="104">
        <v>16400</v>
      </c>
      <c r="F964" s="104">
        <v>16400</v>
      </c>
      <c r="G964" s="168"/>
    </row>
    <row r="965" spans="1:7" s="169" customFormat="1">
      <c r="A965" s="34">
        <f t="shared" si="40"/>
        <v>18</v>
      </c>
      <c r="B965" s="6" t="s">
        <v>908</v>
      </c>
      <c r="C965" s="10" t="s">
        <v>142</v>
      </c>
      <c r="D965" s="104"/>
      <c r="E965" s="104">
        <v>21400</v>
      </c>
      <c r="F965" s="104">
        <v>21400</v>
      </c>
      <c r="G965" s="168"/>
    </row>
    <row r="966" spans="1:7" s="169" customFormat="1">
      <c r="A966" s="34">
        <f t="shared" si="40"/>
        <v>19</v>
      </c>
      <c r="B966" s="6" t="s">
        <v>909</v>
      </c>
      <c r="C966" s="10" t="s">
        <v>142</v>
      </c>
      <c r="D966" s="104"/>
      <c r="E966" s="104">
        <v>26800</v>
      </c>
      <c r="F966" s="104">
        <v>26800</v>
      </c>
      <c r="G966" s="168"/>
    </row>
    <row r="967" spans="1:7" s="169" customFormat="1">
      <c r="A967" s="34">
        <f t="shared" si="40"/>
        <v>20</v>
      </c>
      <c r="B967" s="6" t="s">
        <v>910</v>
      </c>
      <c r="C967" s="10" t="s">
        <v>142</v>
      </c>
      <c r="D967" s="104"/>
      <c r="E967" s="104">
        <v>31200</v>
      </c>
      <c r="F967" s="104">
        <v>31200</v>
      </c>
      <c r="G967" s="168"/>
    </row>
    <row r="968" spans="1:7" s="169" customFormat="1">
      <c r="A968" s="34">
        <f t="shared" si="40"/>
        <v>21</v>
      </c>
      <c r="B968" s="6" t="s">
        <v>911</v>
      </c>
      <c r="C968" s="10" t="s">
        <v>142</v>
      </c>
      <c r="D968" s="104"/>
      <c r="E968" s="104">
        <v>40700</v>
      </c>
      <c r="F968" s="104">
        <v>40700</v>
      </c>
      <c r="G968" s="168"/>
    </row>
    <row r="969" spans="1:7" s="169" customFormat="1">
      <c r="A969" s="34">
        <f t="shared" si="40"/>
        <v>22</v>
      </c>
      <c r="B969" s="6" t="s">
        <v>912</v>
      </c>
      <c r="C969" s="10" t="s">
        <v>142</v>
      </c>
      <c r="D969" s="104"/>
      <c r="E969" s="104">
        <v>41000</v>
      </c>
      <c r="F969" s="104">
        <v>41000</v>
      </c>
      <c r="G969" s="168"/>
    </row>
    <row r="970" spans="1:7" s="169" customFormat="1">
      <c r="A970" s="34">
        <f t="shared" si="40"/>
        <v>23</v>
      </c>
      <c r="B970" s="6" t="s">
        <v>913</v>
      </c>
      <c r="C970" s="10" t="s">
        <v>142</v>
      </c>
      <c r="D970" s="104"/>
      <c r="E970" s="104">
        <v>48800</v>
      </c>
      <c r="F970" s="104">
        <v>48800</v>
      </c>
      <c r="G970" s="168"/>
    </row>
    <row r="971" spans="1:7" s="169" customFormat="1">
      <c r="A971" s="34">
        <f t="shared" si="40"/>
        <v>24</v>
      </c>
      <c r="B971" s="6" t="s">
        <v>914</v>
      </c>
      <c r="C971" s="10" t="s">
        <v>142</v>
      </c>
      <c r="D971" s="104"/>
      <c r="E971" s="104">
        <v>70600</v>
      </c>
      <c r="F971" s="104">
        <v>70600</v>
      </c>
      <c r="G971" s="168"/>
    </row>
    <row r="972" spans="1:7" s="169" customFormat="1">
      <c r="A972" s="34">
        <f t="shared" si="40"/>
        <v>25</v>
      </c>
      <c r="B972" s="6" t="s">
        <v>915</v>
      </c>
      <c r="C972" s="10" t="s">
        <v>142</v>
      </c>
      <c r="D972" s="104"/>
      <c r="E972" s="104">
        <v>103700</v>
      </c>
      <c r="F972" s="104">
        <v>103700</v>
      </c>
      <c r="G972" s="168"/>
    </row>
    <row r="973" spans="1:7" s="169" customFormat="1">
      <c r="A973" s="34">
        <f t="shared" si="40"/>
        <v>26</v>
      </c>
      <c r="B973" s="6" t="s">
        <v>916</v>
      </c>
      <c r="C973" s="10" t="s">
        <v>142</v>
      </c>
      <c r="D973" s="104"/>
      <c r="E973" s="104">
        <v>92000</v>
      </c>
      <c r="F973" s="104">
        <v>92000</v>
      </c>
      <c r="G973" s="168"/>
    </row>
    <row r="974" spans="1:7" s="169" customFormat="1">
      <c r="A974" s="34">
        <f t="shared" si="40"/>
        <v>27</v>
      </c>
      <c r="B974" s="6" t="s">
        <v>917</v>
      </c>
      <c r="C974" s="10" t="s">
        <v>142</v>
      </c>
      <c r="D974" s="104"/>
      <c r="E974" s="104">
        <v>141100</v>
      </c>
      <c r="F974" s="104">
        <v>141100</v>
      </c>
      <c r="G974" s="168"/>
    </row>
    <row r="975" spans="1:7" s="169" customFormat="1">
      <c r="A975" s="34">
        <f t="shared" si="40"/>
        <v>28</v>
      </c>
      <c r="B975" s="6" t="s">
        <v>918</v>
      </c>
      <c r="C975" s="10" t="s">
        <v>142</v>
      </c>
      <c r="D975" s="104"/>
      <c r="E975" s="104">
        <v>135800</v>
      </c>
      <c r="F975" s="104">
        <v>135800</v>
      </c>
      <c r="G975" s="168"/>
    </row>
    <row r="976" spans="1:7" s="169" customFormat="1">
      <c r="A976" s="34"/>
      <c r="B976" s="8" t="s">
        <v>919</v>
      </c>
      <c r="C976" s="12"/>
      <c r="D976" s="104"/>
      <c r="E976" s="123"/>
      <c r="F976" s="104"/>
      <c r="G976" s="168"/>
    </row>
    <row r="977" spans="1:7" s="169" customFormat="1">
      <c r="A977" s="34">
        <f>+A975+1</f>
        <v>29</v>
      </c>
      <c r="B977" s="6" t="s">
        <v>920</v>
      </c>
      <c r="C977" s="10" t="s">
        <v>135</v>
      </c>
      <c r="D977" s="104"/>
      <c r="E977" s="104">
        <f>5500/1.1</f>
        <v>5000</v>
      </c>
      <c r="F977" s="104">
        <f>5500/1.1</f>
        <v>5000</v>
      </c>
      <c r="G977" s="168"/>
    </row>
    <row r="978" spans="1:7" s="169" customFormat="1">
      <c r="A978" s="34">
        <f t="shared" si="40"/>
        <v>30</v>
      </c>
      <c r="B978" s="6" t="s">
        <v>921</v>
      </c>
      <c r="C978" s="10" t="s">
        <v>135</v>
      </c>
      <c r="D978" s="104"/>
      <c r="E978" s="104">
        <f>8690/1.1</f>
        <v>7899.9999999999991</v>
      </c>
      <c r="F978" s="104">
        <f>8690/1.1</f>
        <v>7899.9999999999991</v>
      </c>
      <c r="G978" s="168"/>
    </row>
    <row r="979" spans="1:7" s="169" customFormat="1">
      <c r="A979" s="34">
        <f t="shared" si="40"/>
        <v>31</v>
      </c>
      <c r="B979" s="6" t="s">
        <v>922</v>
      </c>
      <c r="C979" s="10" t="s">
        <v>135</v>
      </c>
      <c r="D979" s="104"/>
      <c r="E979" s="104">
        <f>13420/1.1</f>
        <v>12199.999999999998</v>
      </c>
      <c r="F979" s="104">
        <f>13420/1.1</f>
        <v>12199.999999999998</v>
      </c>
      <c r="G979" s="168"/>
    </row>
    <row r="980" spans="1:7" s="169" customFormat="1">
      <c r="A980" s="34">
        <f t="shared" si="40"/>
        <v>32</v>
      </c>
      <c r="B980" s="6" t="s">
        <v>923</v>
      </c>
      <c r="C980" s="10" t="s">
        <v>135</v>
      </c>
      <c r="D980" s="104"/>
      <c r="E980" s="104">
        <f>26620/1.1</f>
        <v>24199.999999999996</v>
      </c>
      <c r="F980" s="104">
        <f>26620/1.1</f>
        <v>24199.999999999996</v>
      </c>
      <c r="G980" s="168"/>
    </row>
    <row r="981" spans="1:7" s="169" customFormat="1">
      <c r="A981" s="34">
        <f t="shared" si="40"/>
        <v>33</v>
      </c>
      <c r="B981" s="6" t="s">
        <v>924</v>
      </c>
      <c r="C981" s="10" t="s">
        <v>135</v>
      </c>
      <c r="D981" s="104"/>
      <c r="E981" s="104">
        <f>27280/1.1</f>
        <v>24799.999999999996</v>
      </c>
      <c r="F981" s="104">
        <f>27280/1.1</f>
        <v>24799.999999999996</v>
      </c>
      <c r="G981" s="168"/>
    </row>
    <row r="982" spans="1:7" s="169" customFormat="1">
      <c r="A982" s="34">
        <f t="shared" si="40"/>
        <v>34</v>
      </c>
      <c r="B982" s="6" t="s">
        <v>925</v>
      </c>
      <c r="C982" s="10" t="s">
        <v>135</v>
      </c>
      <c r="D982" s="104"/>
      <c r="E982" s="104">
        <f>57640/1.1</f>
        <v>52399.999999999993</v>
      </c>
      <c r="F982" s="104">
        <f>57640/1.1</f>
        <v>52399.999999999993</v>
      </c>
      <c r="G982" s="168"/>
    </row>
    <row r="983" spans="1:7" s="169" customFormat="1">
      <c r="A983" s="34">
        <f t="shared" si="40"/>
        <v>35</v>
      </c>
      <c r="B983" s="6" t="s">
        <v>926</v>
      </c>
      <c r="C983" s="10" t="s">
        <v>135</v>
      </c>
      <c r="D983" s="104"/>
      <c r="E983" s="104">
        <f>223850/1.1</f>
        <v>203499.99999999997</v>
      </c>
      <c r="F983" s="104">
        <f>223850/1.1</f>
        <v>203499.99999999997</v>
      </c>
      <c r="G983" s="168"/>
    </row>
    <row r="984" spans="1:7" s="169" customFormat="1">
      <c r="A984" s="34">
        <f t="shared" si="40"/>
        <v>36</v>
      </c>
      <c r="B984" s="6" t="s">
        <v>927</v>
      </c>
      <c r="C984" s="10" t="s">
        <v>135</v>
      </c>
      <c r="D984" s="104"/>
      <c r="E984" s="104">
        <f>3300/1.1</f>
        <v>2999.9999999999995</v>
      </c>
      <c r="F984" s="104">
        <f>3300/1.1</f>
        <v>2999.9999999999995</v>
      </c>
      <c r="G984" s="168"/>
    </row>
    <row r="985" spans="1:7" s="169" customFormat="1">
      <c r="A985" s="34">
        <f t="shared" si="40"/>
        <v>37</v>
      </c>
      <c r="B985" s="6" t="s">
        <v>928</v>
      </c>
      <c r="C985" s="10" t="s">
        <v>135</v>
      </c>
      <c r="D985" s="104"/>
      <c r="E985" s="104">
        <f>5060/1.1</f>
        <v>4600</v>
      </c>
      <c r="F985" s="104">
        <f>5060/1.1</f>
        <v>4600</v>
      </c>
      <c r="G985" s="168"/>
    </row>
    <row r="986" spans="1:7" s="169" customFormat="1">
      <c r="A986" s="34">
        <f t="shared" si="40"/>
        <v>38</v>
      </c>
      <c r="B986" s="6" t="s">
        <v>929</v>
      </c>
      <c r="C986" s="10" t="s">
        <v>135</v>
      </c>
      <c r="D986" s="104"/>
      <c r="E986" s="104">
        <f>8140/1.1</f>
        <v>7399.9999999999991</v>
      </c>
      <c r="F986" s="104">
        <f>8140/1.1</f>
        <v>7399.9999999999991</v>
      </c>
      <c r="G986" s="168"/>
    </row>
    <row r="987" spans="1:7" s="169" customFormat="1">
      <c r="A987" s="34">
        <f t="shared" si="40"/>
        <v>39</v>
      </c>
      <c r="B987" s="6" t="s">
        <v>930</v>
      </c>
      <c r="C987" s="10" t="s">
        <v>135</v>
      </c>
      <c r="D987" s="104"/>
      <c r="E987" s="104">
        <f>10780/1.1</f>
        <v>9800</v>
      </c>
      <c r="F987" s="104">
        <f>10780/1.1</f>
        <v>9800</v>
      </c>
      <c r="G987" s="168"/>
    </row>
    <row r="988" spans="1:7" s="169" customFormat="1">
      <c r="A988" s="34">
        <f t="shared" si="40"/>
        <v>40</v>
      </c>
      <c r="B988" s="6" t="s">
        <v>931</v>
      </c>
      <c r="C988" s="10" t="s">
        <v>135</v>
      </c>
      <c r="D988" s="104"/>
      <c r="E988" s="104">
        <f>15950/1.1</f>
        <v>14499.999999999998</v>
      </c>
      <c r="F988" s="104">
        <f>15950/1.1</f>
        <v>14499.999999999998</v>
      </c>
      <c r="G988" s="168"/>
    </row>
    <row r="989" spans="1:7" s="169" customFormat="1">
      <c r="A989" s="34">
        <f t="shared" si="40"/>
        <v>41</v>
      </c>
      <c r="B989" s="6" t="s">
        <v>932</v>
      </c>
      <c r="C989" s="10" t="s">
        <v>135</v>
      </c>
      <c r="D989" s="104"/>
      <c r="E989" s="104">
        <f>27170/1.1</f>
        <v>24699.999999999996</v>
      </c>
      <c r="F989" s="104">
        <f>27170/1.1</f>
        <v>24699.999999999996</v>
      </c>
      <c r="G989" s="168"/>
    </row>
    <row r="990" spans="1:7" s="169" customFormat="1">
      <c r="A990" s="34">
        <f t="shared" si="40"/>
        <v>42</v>
      </c>
      <c r="B990" s="6" t="s">
        <v>933</v>
      </c>
      <c r="C990" s="10" t="s">
        <v>135</v>
      </c>
      <c r="D990" s="104"/>
      <c r="E990" s="104">
        <f>51700/1.1</f>
        <v>46999.999999999993</v>
      </c>
      <c r="F990" s="104">
        <f>51700/1.1</f>
        <v>46999.999999999993</v>
      </c>
      <c r="G990" s="168"/>
    </row>
    <row r="991" spans="1:7" s="169" customFormat="1">
      <c r="A991" s="34">
        <f t="shared" si="40"/>
        <v>43</v>
      </c>
      <c r="B991" s="6" t="s">
        <v>934</v>
      </c>
      <c r="C991" s="10" t="s">
        <v>135</v>
      </c>
      <c r="D991" s="104"/>
      <c r="E991" s="104">
        <f>68420/1.1</f>
        <v>62199.999999999993</v>
      </c>
      <c r="F991" s="104">
        <f>68420/1.1</f>
        <v>62199.999999999993</v>
      </c>
      <c r="G991" s="168"/>
    </row>
    <row r="992" spans="1:7" s="169" customFormat="1">
      <c r="A992" s="34">
        <f t="shared" si="40"/>
        <v>44</v>
      </c>
      <c r="B992" s="6" t="s">
        <v>935</v>
      </c>
      <c r="C992" s="10" t="s">
        <v>135</v>
      </c>
      <c r="D992" s="104"/>
      <c r="E992" s="104">
        <f>139590/1.1</f>
        <v>126899.99999999999</v>
      </c>
      <c r="F992" s="104">
        <f>139590/1.1</f>
        <v>126899.99999999999</v>
      </c>
      <c r="G992" s="168"/>
    </row>
    <row r="993" spans="1:7" s="169" customFormat="1">
      <c r="A993" s="34">
        <f t="shared" si="40"/>
        <v>45</v>
      </c>
      <c r="B993" s="6" t="s">
        <v>936</v>
      </c>
      <c r="C993" s="10" t="s">
        <v>135</v>
      </c>
      <c r="D993" s="104"/>
      <c r="E993" s="104">
        <f>505010/1.1</f>
        <v>459099.99999999994</v>
      </c>
      <c r="F993" s="104">
        <f>505010/1.1</f>
        <v>459099.99999999994</v>
      </c>
      <c r="G993" s="168"/>
    </row>
    <row r="994" spans="1:7" s="169" customFormat="1" ht="16.5">
      <c r="A994" s="34">
        <f t="shared" si="40"/>
        <v>46</v>
      </c>
      <c r="B994" s="23" t="s">
        <v>937</v>
      </c>
      <c r="C994" s="10" t="s">
        <v>135</v>
      </c>
      <c r="D994" s="104"/>
      <c r="E994" s="104">
        <f>6820/1.1</f>
        <v>6199.9999999999991</v>
      </c>
      <c r="F994" s="104">
        <f>6820/1.1</f>
        <v>6199.9999999999991</v>
      </c>
      <c r="G994" s="168"/>
    </row>
    <row r="995" spans="1:7" s="169" customFormat="1" ht="16.5">
      <c r="A995" s="34">
        <f t="shared" si="40"/>
        <v>47</v>
      </c>
      <c r="B995" s="23" t="s">
        <v>938</v>
      </c>
      <c r="C995" s="10" t="s">
        <v>135</v>
      </c>
      <c r="D995" s="104"/>
      <c r="E995" s="104">
        <f>10560/1.1</f>
        <v>9600</v>
      </c>
      <c r="F995" s="104">
        <f>10560/1.1</f>
        <v>9600</v>
      </c>
      <c r="G995" s="168"/>
    </row>
    <row r="996" spans="1:7" s="169" customFormat="1" ht="16.5">
      <c r="A996" s="34">
        <f t="shared" si="40"/>
        <v>48</v>
      </c>
      <c r="B996" s="23" t="s">
        <v>939</v>
      </c>
      <c r="C996" s="10" t="s">
        <v>135</v>
      </c>
      <c r="D996" s="104"/>
      <c r="E996" s="104">
        <f>16170/1.1</f>
        <v>14699.999999999998</v>
      </c>
      <c r="F996" s="104">
        <f>16170/1.1</f>
        <v>14699.999999999998</v>
      </c>
      <c r="G996" s="168"/>
    </row>
    <row r="997" spans="1:7" s="169" customFormat="1" ht="16.5">
      <c r="A997" s="34">
        <f t="shared" si="40"/>
        <v>49</v>
      </c>
      <c r="B997" s="23" t="s">
        <v>940</v>
      </c>
      <c r="C997" s="10" t="s">
        <v>135</v>
      </c>
      <c r="D997" s="104"/>
      <c r="E997" s="104">
        <f>32890/1.1</f>
        <v>29899.999999999996</v>
      </c>
      <c r="F997" s="104">
        <f>32890/1.1</f>
        <v>29899.999999999996</v>
      </c>
      <c r="G997" s="168"/>
    </row>
    <row r="998" spans="1:7" s="169" customFormat="1" ht="16.5">
      <c r="A998" s="34">
        <f t="shared" si="40"/>
        <v>50</v>
      </c>
      <c r="B998" s="23" t="s">
        <v>941</v>
      </c>
      <c r="C998" s="10" t="s">
        <v>135</v>
      </c>
      <c r="D998" s="104"/>
      <c r="E998" s="104">
        <f>36960/1.1</f>
        <v>33600</v>
      </c>
      <c r="F998" s="104">
        <f>36960/1.1</f>
        <v>33600</v>
      </c>
      <c r="G998" s="168"/>
    </row>
    <row r="999" spans="1:7" s="169" customFormat="1" ht="16.5">
      <c r="A999" s="34">
        <f t="shared" si="40"/>
        <v>51</v>
      </c>
      <c r="B999" s="23" t="s">
        <v>942</v>
      </c>
      <c r="C999" s="10" t="s">
        <v>135</v>
      </c>
      <c r="D999" s="104"/>
      <c r="E999" s="104">
        <f>77220/1.1</f>
        <v>70200</v>
      </c>
      <c r="F999" s="104">
        <f>77220/1.1</f>
        <v>70200</v>
      </c>
      <c r="G999" s="168"/>
    </row>
    <row r="1000" spans="1:7" s="169" customFormat="1" ht="16.5">
      <c r="A1000" s="34">
        <f t="shared" si="40"/>
        <v>52</v>
      </c>
      <c r="B1000" s="23" t="s">
        <v>943</v>
      </c>
      <c r="C1000" s="10" t="s">
        <v>135</v>
      </c>
      <c r="D1000" s="104"/>
      <c r="E1000" s="104">
        <f>308880/1.1</f>
        <v>280800</v>
      </c>
      <c r="F1000" s="104">
        <f>308880/1.1</f>
        <v>280800</v>
      </c>
      <c r="G1000" s="168"/>
    </row>
    <row r="1001" spans="1:7" s="169" customFormat="1">
      <c r="A1001" s="34"/>
      <c r="B1001" s="8" t="s">
        <v>944</v>
      </c>
      <c r="C1001" s="12"/>
      <c r="D1001" s="104"/>
      <c r="E1001" s="123"/>
      <c r="F1001" s="104"/>
      <c r="G1001" s="168"/>
    </row>
    <row r="1002" spans="1:7" s="169" customFormat="1">
      <c r="A1002" s="34">
        <f>+A1000+1</f>
        <v>53</v>
      </c>
      <c r="B1002" s="6" t="s">
        <v>945</v>
      </c>
      <c r="C1002" s="31" t="s">
        <v>135</v>
      </c>
      <c r="D1002" s="104"/>
      <c r="E1002" s="104">
        <f>25300/1.1</f>
        <v>22999.999999999996</v>
      </c>
      <c r="F1002" s="104">
        <f>25300/1.1</f>
        <v>22999.999999999996</v>
      </c>
      <c r="G1002" s="168"/>
    </row>
    <row r="1003" spans="1:7" s="169" customFormat="1">
      <c r="A1003" s="34">
        <f t="shared" si="40"/>
        <v>54</v>
      </c>
      <c r="B1003" s="6" t="s">
        <v>946</v>
      </c>
      <c r="C1003" s="31" t="s">
        <v>135</v>
      </c>
      <c r="D1003" s="104"/>
      <c r="E1003" s="104">
        <f>27280/1.1</f>
        <v>24799.999999999996</v>
      </c>
      <c r="F1003" s="104">
        <f>27280/1.1</f>
        <v>24799.999999999996</v>
      </c>
      <c r="G1003" s="168"/>
    </row>
    <row r="1004" spans="1:7" s="169" customFormat="1">
      <c r="A1004" s="34">
        <f t="shared" si="40"/>
        <v>55</v>
      </c>
      <c r="B1004" s="6" t="s">
        <v>947</v>
      </c>
      <c r="C1004" s="31" t="s">
        <v>135</v>
      </c>
      <c r="D1004" s="104"/>
      <c r="E1004" s="104">
        <f>55990/1.1</f>
        <v>50899.999999999993</v>
      </c>
      <c r="F1004" s="104">
        <f>55990/1.1</f>
        <v>50899.999999999993</v>
      </c>
      <c r="G1004" s="168"/>
    </row>
    <row r="1005" spans="1:7" s="169" customFormat="1">
      <c r="A1005" s="34">
        <f t="shared" si="40"/>
        <v>56</v>
      </c>
      <c r="B1005" s="6" t="s">
        <v>948</v>
      </c>
      <c r="C1005" s="31" t="s">
        <v>135</v>
      </c>
      <c r="D1005" s="104"/>
      <c r="E1005" s="104">
        <f>93720/1.1</f>
        <v>85200</v>
      </c>
      <c r="F1005" s="104">
        <f>93720/1.1</f>
        <v>85200</v>
      </c>
      <c r="G1005" s="168"/>
    </row>
    <row r="1006" spans="1:7" s="169" customFormat="1">
      <c r="A1006" s="34">
        <f t="shared" si="40"/>
        <v>57</v>
      </c>
      <c r="B1006" s="6" t="s">
        <v>949</v>
      </c>
      <c r="C1006" s="31" t="s">
        <v>135</v>
      </c>
      <c r="D1006" s="104"/>
      <c r="E1006" s="104">
        <f>142340/1.1</f>
        <v>129399.99999999999</v>
      </c>
      <c r="F1006" s="104">
        <f>142340/1.1</f>
        <v>129399.99999999999</v>
      </c>
      <c r="G1006" s="168"/>
    </row>
    <row r="1007" spans="1:7" s="169" customFormat="1">
      <c r="A1007" s="34">
        <f t="shared" si="40"/>
        <v>58</v>
      </c>
      <c r="B1007" s="6" t="s">
        <v>950</v>
      </c>
      <c r="C1007" s="31" t="s">
        <v>135</v>
      </c>
      <c r="D1007" s="104"/>
      <c r="E1007" s="104">
        <f>307120/1.1</f>
        <v>279200</v>
      </c>
      <c r="F1007" s="104">
        <f>307120/1.1</f>
        <v>279200</v>
      </c>
      <c r="G1007" s="168"/>
    </row>
    <row r="1008" spans="1:7" s="169" customFormat="1">
      <c r="A1008" s="34">
        <f t="shared" si="40"/>
        <v>59</v>
      </c>
      <c r="B1008" s="6" t="s">
        <v>951</v>
      </c>
      <c r="C1008" s="31" t="s">
        <v>135</v>
      </c>
      <c r="D1008" s="104"/>
      <c r="E1008" s="104">
        <f>20350/1.1</f>
        <v>18500</v>
      </c>
      <c r="F1008" s="104">
        <f>20350/1.1</f>
        <v>18500</v>
      </c>
      <c r="G1008" s="168"/>
    </row>
    <row r="1009" spans="1:7" s="169" customFormat="1">
      <c r="A1009" s="34">
        <f t="shared" si="40"/>
        <v>60</v>
      </c>
      <c r="B1009" s="6" t="s">
        <v>952</v>
      </c>
      <c r="C1009" s="31" t="s">
        <v>135</v>
      </c>
      <c r="D1009" s="104"/>
      <c r="E1009" s="104">
        <f>36850/1.1</f>
        <v>33500</v>
      </c>
      <c r="F1009" s="104">
        <f>36850/1.1</f>
        <v>33500</v>
      </c>
      <c r="G1009" s="168"/>
    </row>
    <row r="1010" spans="1:7" s="169" customFormat="1">
      <c r="A1010" s="34">
        <f t="shared" si="40"/>
        <v>61</v>
      </c>
      <c r="B1010" s="6" t="s">
        <v>953</v>
      </c>
      <c r="C1010" s="31" t="s">
        <v>135</v>
      </c>
      <c r="D1010" s="104"/>
      <c r="E1010" s="104">
        <f>40480/1.1</f>
        <v>36800</v>
      </c>
      <c r="F1010" s="104">
        <f>40480/1.1</f>
        <v>36800</v>
      </c>
      <c r="G1010" s="168"/>
    </row>
    <row r="1011" spans="1:7" s="169" customFormat="1">
      <c r="A1011" s="34">
        <f t="shared" si="40"/>
        <v>62</v>
      </c>
      <c r="B1011" s="6" t="s">
        <v>954</v>
      </c>
      <c r="C1011" s="31" t="s">
        <v>135</v>
      </c>
      <c r="D1011" s="104"/>
      <c r="E1011" s="104">
        <f>68420/1.1</f>
        <v>62199.999999999993</v>
      </c>
      <c r="F1011" s="104">
        <f>68420/1.1</f>
        <v>62199.999999999993</v>
      </c>
      <c r="G1011" s="168"/>
    </row>
    <row r="1012" spans="1:7" s="169" customFormat="1">
      <c r="A1012" s="34">
        <f t="shared" si="40"/>
        <v>63</v>
      </c>
      <c r="B1012" s="6" t="s">
        <v>955</v>
      </c>
      <c r="C1012" s="31" t="s">
        <v>135</v>
      </c>
      <c r="D1012" s="104"/>
      <c r="E1012" s="104">
        <f>113080/1.1</f>
        <v>102799.99999999999</v>
      </c>
      <c r="F1012" s="104">
        <f>113080/1.1</f>
        <v>102799.99999999999</v>
      </c>
      <c r="G1012" s="168"/>
    </row>
    <row r="1013" spans="1:7" s="169" customFormat="1">
      <c r="A1013" s="34">
        <f t="shared" ref="A1013:A1024" si="41">+A1012+1</f>
        <v>64</v>
      </c>
      <c r="B1013" s="6" t="s">
        <v>956</v>
      </c>
      <c r="C1013" s="31" t="s">
        <v>135</v>
      </c>
      <c r="D1013" s="104"/>
      <c r="E1013" s="104">
        <f>246840/1.1</f>
        <v>224399.99999999997</v>
      </c>
      <c r="F1013" s="104">
        <f>246840/1.1</f>
        <v>224399.99999999997</v>
      </c>
      <c r="G1013" s="168"/>
    </row>
    <row r="1014" spans="1:7" s="169" customFormat="1">
      <c r="A1014" s="34">
        <f t="shared" si="41"/>
        <v>65</v>
      </c>
      <c r="B1014" s="6" t="s">
        <v>957</v>
      </c>
      <c r="C1014" s="31" t="s">
        <v>135</v>
      </c>
      <c r="D1014" s="104"/>
      <c r="E1014" s="104">
        <f>475530/1.1</f>
        <v>432299.99999999994</v>
      </c>
      <c r="F1014" s="104">
        <f>475530/1.1</f>
        <v>432299.99999999994</v>
      </c>
      <c r="G1014" s="168"/>
    </row>
    <row r="1015" spans="1:7" s="169" customFormat="1">
      <c r="A1015" s="34">
        <f t="shared" si="41"/>
        <v>66</v>
      </c>
      <c r="B1015" s="6" t="s">
        <v>958</v>
      </c>
      <c r="C1015" s="31" t="s">
        <v>135</v>
      </c>
      <c r="D1015" s="104"/>
      <c r="E1015" s="104">
        <f>1090980/1.1</f>
        <v>991799.99999999988</v>
      </c>
      <c r="F1015" s="104">
        <f>1090980/1.1</f>
        <v>991799.99999999988</v>
      </c>
      <c r="G1015" s="168"/>
    </row>
    <row r="1016" spans="1:7" s="169" customFormat="1" ht="16.5">
      <c r="A1016" s="34">
        <f t="shared" si="41"/>
        <v>67</v>
      </c>
      <c r="B1016" s="23" t="s">
        <v>959</v>
      </c>
      <c r="C1016" s="31" t="s">
        <v>135</v>
      </c>
      <c r="D1016" s="104"/>
      <c r="E1016" s="104">
        <f>12320/1.1</f>
        <v>11200</v>
      </c>
      <c r="F1016" s="104">
        <f>12320/1.1</f>
        <v>11200</v>
      </c>
      <c r="G1016" s="168"/>
    </row>
    <row r="1017" spans="1:7" s="169" customFormat="1" ht="16.5">
      <c r="A1017" s="34">
        <f t="shared" si="41"/>
        <v>68</v>
      </c>
      <c r="B1017" s="23" t="s">
        <v>960</v>
      </c>
      <c r="C1017" s="31" t="s">
        <v>135</v>
      </c>
      <c r="D1017" s="104"/>
      <c r="E1017" s="104">
        <f>26510/1.1</f>
        <v>24099.999999999996</v>
      </c>
      <c r="F1017" s="104">
        <f>26510/1.1</f>
        <v>24099.999999999996</v>
      </c>
      <c r="G1017" s="168"/>
    </row>
    <row r="1018" spans="1:7" s="169" customFormat="1" ht="16.5">
      <c r="A1018" s="34">
        <f t="shared" si="41"/>
        <v>69</v>
      </c>
      <c r="B1018" s="23" t="s">
        <v>961</v>
      </c>
      <c r="C1018" s="31" t="s">
        <v>135</v>
      </c>
      <c r="D1018" s="104"/>
      <c r="E1018" s="104">
        <f>32780/1.1</f>
        <v>29799.999999999996</v>
      </c>
      <c r="F1018" s="104">
        <f>32780/1.1</f>
        <v>29799.999999999996</v>
      </c>
      <c r="G1018" s="168"/>
    </row>
    <row r="1019" spans="1:7" s="169" customFormat="1" ht="16.5">
      <c r="A1019" s="34">
        <f t="shared" si="41"/>
        <v>70</v>
      </c>
      <c r="B1019" s="23" t="s">
        <v>962</v>
      </c>
      <c r="C1019" s="31" t="s">
        <v>135</v>
      </c>
      <c r="D1019" s="104"/>
      <c r="E1019" s="104">
        <f>36960/1.1</f>
        <v>33600</v>
      </c>
      <c r="F1019" s="104">
        <f>36960/1.1</f>
        <v>33600</v>
      </c>
      <c r="G1019" s="168"/>
    </row>
    <row r="1020" spans="1:7" s="169" customFormat="1" ht="16.5">
      <c r="A1020" s="34">
        <f t="shared" si="41"/>
        <v>71</v>
      </c>
      <c r="B1020" s="23" t="s">
        <v>963</v>
      </c>
      <c r="C1020" s="31" t="s">
        <v>135</v>
      </c>
      <c r="D1020" s="104"/>
      <c r="E1020" s="104">
        <f>62700/1.1</f>
        <v>56999.999999999993</v>
      </c>
      <c r="F1020" s="104">
        <f>62700/1.1</f>
        <v>56999.999999999993</v>
      </c>
      <c r="G1020" s="168"/>
    </row>
    <row r="1021" spans="1:7" s="169" customFormat="1" ht="16.5">
      <c r="A1021" s="34">
        <f t="shared" si="41"/>
        <v>72</v>
      </c>
      <c r="B1021" s="23" t="s">
        <v>964</v>
      </c>
      <c r="C1021" s="31" t="s">
        <v>135</v>
      </c>
      <c r="D1021" s="104"/>
      <c r="E1021" s="104">
        <f>127710/1.1</f>
        <v>116099.99999999999</v>
      </c>
      <c r="F1021" s="104">
        <f>127710/1.1</f>
        <v>116099.99999999999</v>
      </c>
      <c r="G1021" s="168"/>
    </row>
    <row r="1022" spans="1:7" s="169" customFormat="1" ht="16.5">
      <c r="A1022" s="34">
        <f t="shared" si="41"/>
        <v>73</v>
      </c>
      <c r="B1022" s="23" t="s">
        <v>965</v>
      </c>
      <c r="C1022" s="31" t="s">
        <v>135</v>
      </c>
      <c r="D1022" s="104"/>
      <c r="E1022" s="104">
        <f>162360/1.1</f>
        <v>147600</v>
      </c>
      <c r="F1022" s="104">
        <f>162360/1.1</f>
        <v>147600</v>
      </c>
      <c r="G1022" s="168"/>
    </row>
    <row r="1023" spans="1:7" s="169" customFormat="1" ht="16.5">
      <c r="A1023" s="34">
        <f t="shared" si="41"/>
        <v>74</v>
      </c>
      <c r="B1023" s="23" t="s">
        <v>966</v>
      </c>
      <c r="C1023" s="31" t="s">
        <v>135</v>
      </c>
      <c r="D1023" s="104"/>
      <c r="E1023" s="104">
        <f>429000/1.1</f>
        <v>389999.99999999994</v>
      </c>
      <c r="F1023" s="104">
        <f>429000/1.1</f>
        <v>389999.99999999994</v>
      </c>
      <c r="G1023" s="168"/>
    </row>
    <row r="1024" spans="1:7" s="169" customFormat="1">
      <c r="A1024" s="32">
        <f t="shared" si="41"/>
        <v>75</v>
      </c>
      <c r="B1024" s="7" t="s">
        <v>967</v>
      </c>
      <c r="C1024" s="32" t="s">
        <v>814</v>
      </c>
      <c r="D1024" s="106"/>
      <c r="E1024" s="106">
        <f>115830/1.1</f>
        <v>105299.99999999999</v>
      </c>
      <c r="F1024" s="106">
        <f>115830/1.1</f>
        <v>105299.99999999999</v>
      </c>
      <c r="G1024" s="168"/>
    </row>
    <row r="1025" spans="1:7" s="169" customFormat="1" ht="21.95" customHeight="1">
      <c r="A1025" s="34"/>
      <c r="B1025" s="213" t="s">
        <v>968</v>
      </c>
      <c r="C1025" s="213"/>
      <c r="D1025" s="213"/>
      <c r="E1025" s="213"/>
      <c r="F1025" s="213"/>
      <c r="G1025" s="168"/>
    </row>
    <row r="1026" spans="1:7" s="169" customFormat="1">
      <c r="A1026" s="31"/>
      <c r="B1026" s="8" t="s">
        <v>969</v>
      </c>
      <c r="C1026" s="50"/>
      <c r="D1026" s="127"/>
      <c r="E1026" s="127"/>
      <c r="F1026" s="127"/>
      <c r="G1026" s="168"/>
    </row>
    <row r="1027" spans="1:7" s="169" customFormat="1">
      <c r="A1027" s="31">
        <v>1</v>
      </c>
      <c r="B1027" s="6" t="s">
        <v>970</v>
      </c>
      <c r="C1027" s="31" t="s">
        <v>142</v>
      </c>
      <c r="D1027" s="104"/>
      <c r="E1027" s="104">
        <v>6200</v>
      </c>
      <c r="F1027" s="104">
        <v>6200</v>
      </c>
      <c r="G1027" s="168"/>
    </row>
    <row r="1028" spans="1:7" s="169" customFormat="1">
      <c r="A1028" s="31">
        <f>+A1027+1</f>
        <v>2</v>
      </c>
      <c r="B1028" s="6" t="s">
        <v>971</v>
      </c>
      <c r="C1028" s="31" t="s">
        <v>142</v>
      </c>
      <c r="D1028" s="104"/>
      <c r="E1028" s="104">
        <v>8800</v>
      </c>
      <c r="F1028" s="104">
        <v>8800</v>
      </c>
      <c r="G1028" s="168"/>
    </row>
    <row r="1029" spans="1:7" s="169" customFormat="1">
      <c r="A1029" s="31">
        <f>+A1028+1</f>
        <v>3</v>
      </c>
      <c r="B1029" s="6" t="s">
        <v>972</v>
      </c>
      <c r="C1029" s="31" t="s">
        <v>142</v>
      </c>
      <c r="D1029" s="104"/>
      <c r="E1029" s="104">
        <v>12300</v>
      </c>
      <c r="F1029" s="104">
        <v>12300</v>
      </c>
      <c r="G1029" s="168"/>
    </row>
    <row r="1030" spans="1:7" s="169" customFormat="1">
      <c r="A1030" s="31">
        <f>+A1029+1</f>
        <v>4</v>
      </c>
      <c r="B1030" s="6" t="s">
        <v>973</v>
      </c>
      <c r="C1030" s="31" t="s">
        <v>142</v>
      </c>
      <c r="D1030" s="104"/>
      <c r="E1030" s="104">
        <v>16400</v>
      </c>
      <c r="F1030" s="104">
        <v>16400</v>
      </c>
      <c r="G1030" s="168"/>
    </row>
    <row r="1031" spans="1:7" s="169" customFormat="1">
      <c r="A1031" s="31">
        <f>+A1030+1</f>
        <v>5</v>
      </c>
      <c r="B1031" s="6" t="s">
        <v>974</v>
      </c>
      <c r="C1031" s="31" t="s">
        <v>142</v>
      </c>
      <c r="D1031" s="104"/>
      <c r="E1031" s="104">
        <v>21400</v>
      </c>
      <c r="F1031" s="104">
        <v>21400</v>
      </c>
      <c r="G1031" s="168"/>
    </row>
    <row r="1032" spans="1:7" s="169" customFormat="1">
      <c r="A1032" s="31">
        <f>+A1031+1</f>
        <v>6</v>
      </c>
      <c r="B1032" s="6" t="s">
        <v>975</v>
      </c>
      <c r="C1032" s="31" t="s">
        <v>142</v>
      </c>
      <c r="D1032" s="104"/>
      <c r="E1032" s="104">
        <v>22600</v>
      </c>
      <c r="F1032" s="104">
        <v>22600</v>
      </c>
      <c r="G1032" s="168"/>
    </row>
    <row r="1033" spans="1:7" s="169" customFormat="1">
      <c r="A1033" s="31">
        <f t="shared" ref="A1033:A1096" si="42">+A1032+1</f>
        <v>7</v>
      </c>
      <c r="B1033" s="6" t="s">
        <v>976</v>
      </c>
      <c r="C1033" s="31" t="s">
        <v>142</v>
      </c>
      <c r="D1033" s="104"/>
      <c r="E1033" s="104">
        <v>48800</v>
      </c>
      <c r="F1033" s="104">
        <v>48800</v>
      </c>
      <c r="G1033" s="168"/>
    </row>
    <row r="1034" spans="1:7" s="169" customFormat="1">
      <c r="A1034" s="31">
        <f t="shared" si="42"/>
        <v>8</v>
      </c>
      <c r="B1034" s="6" t="s">
        <v>977</v>
      </c>
      <c r="C1034" s="31" t="s">
        <v>142</v>
      </c>
      <c r="D1034" s="104"/>
      <c r="E1034" s="104">
        <v>81000</v>
      </c>
      <c r="F1034" s="104">
        <v>81000</v>
      </c>
      <c r="G1034" s="168"/>
    </row>
    <row r="1035" spans="1:7" s="169" customFormat="1">
      <c r="A1035" s="31">
        <f t="shared" si="42"/>
        <v>9</v>
      </c>
      <c r="B1035" s="6" t="s">
        <v>978</v>
      </c>
      <c r="C1035" s="31" t="s">
        <v>142</v>
      </c>
      <c r="D1035" s="104"/>
      <c r="E1035" s="104">
        <v>103700</v>
      </c>
      <c r="F1035" s="104">
        <v>103700</v>
      </c>
      <c r="G1035" s="168"/>
    </row>
    <row r="1036" spans="1:7" s="169" customFormat="1">
      <c r="A1036" s="31">
        <f t="shared" si="42"/>
        <v>10</v>
      </c>
      <c r="B1036" s="6" t="s">
        <v>979</v>
      </c>
      <c r="C1036" s="31" t="s">
        <v>142</v>
      </c>
      <c r="D1036" s="104"/>
      <c r="E1036" s="104">
        <v>135800</v>
      </c>
      <c r="F1036" s="104">
        <v>135800</v>
      </c>
      <c r="G1036" s="168"/>
    </row>
    <row r="1037" spans="1:7" s="169" customFormat="1">
      <c r="A1037" s="31">
        <f t="shared" si="42"/>
        <v>11</v>
      </c>
      <c r="B1037" s="6" t="s">
        <v>980</v>
      </c>
      <c r="C1037" s="31" t="s">
        <v>142</v>
      </c>
      <c r="D1037" s="104"/>
      <c r="E1037" s="104">
        <v>210200</v>
      </c>
      <c r="F1037" s="104">
        <v>210200</v>
      </c>
      <c r="G1037" s="168"/>
    </row>
    <row r="1038" spans="1:7" s="169" customFormat="1">
      <c r="A1038" s="31"/>
      <c r="B1038" s="8" t="s">
        <v>981</v>
      </c>
      <c r="C1038" s="12"/>
      <c r="D1038" s="126"/>
      <c r="E1038" s="104"/>
      <c r="F1038" s="104"/>
      <c r="G1038" s="168"/>
    </row>
    <row r="1039" spans="1:7" s="169" customFormat="1">
      <c r="A1039" s="31">
        <f>+A1037+1</f>
        <v>12</v>
      </c>
      <c r="B1039" s="23" t="s">
        <v>982</v>
      </c>
      <c r="C1039" s="31" t="s">
        <v>142</v>
      </c>
      <c r="D1039" s="104"/>
      <c r="E1039" s="104">
        <v>21400</v>
      </c>
      <c r="F1039" s="104">
        <v>21400</v>
      </c>
      <c r="G1039" s="168"/>
    </row>
    <row r="1040" spans="1:7" s="169" customFormat="1">
      <c r="A1040" s="31">
        <f t="shared" si="42"/>
        <v>13</v>
      </c>
      <c r="B1040" s="23" t="s">
        <v>983</v>
      </c>
      <c r="C1040" s="31" t="s">
        <v>142</v>
      </c>
      <c r="D1040" s="104"/>
      <c r="E1040" s="104">
        <v>24800</v>
      </c>
      <c r="F1040" s="104">
        <v>24800</v>
      </c>
      <c r="G1040" s="168"/>
    </row>
    <row r="1041" spans="1:7" s="169" customFormat="1">
      <c r="A1041" s="31">
        <f t="shared" si="42"/>
        <v>14</v>
      </c>
      <c r="B1041" s="23" t="s">
        <v>984</v>
      </c>
      <c r="C1041" s="31" t="s">
        <v>142</v>
      </c>
      <c r="D1041" s="104"/>
      <c r="E1041" s="104">
        <v>34500</v>
      </c>
      <c r="F1041" s="104">
        <v>34500</v>
      </c>
      <c r="G1041" s="168"/>
    </row>
    <row r="1042" spans="1:7" s="169" customFormat="1">
      <c r="A1042" s="31">
        <f t="shared" si="42"/>
        <v>15</v>
      </c>
      <c r="B1042" s="23" t="s">
        <v>985</v>
      </c>
      <c r="C1042" s="31" t="s">
        <v>142</v>
      </c>
      <c r="D1042" s="104"/>
      <c r="E1042" s="104">
        <v>50200</v>
      </c>
      <c r="F1042" s="104">
        <v>50200</v>
      </c>
      <c r="G1042" s="168"/>
    </row>
    <row r="1043" spans="1:7" s="169" customFormat="1">
      <c r="A1043" s="31">
        <f t="shared" si="42"/>
        <v>16</v>
      </c>
      <c r="B1043" s="23" t="s">
        <v>986</v>
      </c>
      <c r="C1043" s="31" t="s">
        <v>142</v>
      </c>
      <c r="D1043" s="104"/>
      <c r="E1043" s="104">
        <v>72100</v>
      </c>
      <c r="F1043" s="104">
        <v>72100</v>
      </c>
      <c r="G1043" s="168"/>
    </row>
    <row r="1044" spans="1:7" s="169" customFormat="1">
      <c r="A1044" s="31">
        <f t="shared" si="42"/>
        <v>17</v>
      </c>
      <c r="B1044" s="23" t="s">
        <v>987</v>
      </c>
      <c r="C1044" s="31" t="s">
        <v>142</v>
      </c>
      <c r="D1044" s="104"/>
      <c r="E1044" s="104">
        <v>116300</v>
      </c>
      <c r="F1044" s="104">
        <v>116300</v>
      </c>
      <c r="G1044" s="168"/>
    </row>
    <row r="1045" spans="1:7" s="169" customFormat="1">
      <c r="A1045" s="31">
        <f t="shared" si="42"/>
        <v>18</v>
      </c>
      <c r="B1045" s="23" t="s">
        <v>988</v>
      </c>
      <c r="C1045" s="31" t="s">
        <v>142</v>
      </c>
      <c r="D1045" s="104"/>
      <c r="E1045" s="104">
        <v>129000</v>
      </c>
      <c r="F1045" s="104">
        <v>129000</v>
      </c>
      <c r="G1045" s="168"/>
    </row>
    <row r="1046" spans="1:7" s="169" customFormat="1">
      <c r="A1046" s="31">
        <f t="shared" si="42"/>
        <v>19</v>
      </c>
      <c r="B1046" s="23" t="s">
        <v>989</v>
      </c>
      <c r="C1046" s="31" t="s">
        <v>142</v>
      </c>
      <c r="D1046" s="104"/>
      <c r="E1046" s="104">
        <v>240000</v>
      </c>
      <c r="F1046" s="104">
        <v>240000</v>
      </c>
      <c r="G1046" s="168"/>
    </row>
    <row r="1047" spans="1:7" s="169" customFormat="1">
      <c r="A1047" s="31">
        <f t="shared" si="42"/>
        <v>20</v>
      </c>
      <c r="B1047" s="23" t="s">
        <v>990</v>
      </c>
      <c r="C1047" s="31" t="s">
        <v>142</v>
      </c>
      <c r="D1047" s="104"/>
      <c r="E1047" s="104">
        <v>235300</v>
      </c>
      <c r="F1047" s="104">
        <v>235300</v>
      </c>
      <c r="G1047" s="168"/>
    </row>
    <row r="1048" spans="1:7" s="169" customFormat="1">
      <c r="A1048" s="31"/>
      <c r="B1048" s="8" t="s">
        <v>991</v>
      </c>
      <c r="C1048" s="12"/>
      <c r="D1048" s="126"/>
      <c r="E1048" s="104"/>
      <c r="F1048" s="104"/>
      <c r="G1048" s="168"/>
    </row>
    <row r="1049" spans="1:7" s="169" customFormat="1">
      <c r="A1049" s="31">
        <f>+A1047+1</f>
        <v>21</v>
      </c>
      <c r="B1049" s="23" t="s">
        <v>992</v>
      </c>
      <c r="C1049" s="31" t="s">
        <v>142</v>
      </c>
      <c r="D1049" s="104"/>
      <c r="E1049" s="104">
        <v>151200</v>
      </c>
      <c r="F1049" s="104">
        <v>151200</v>
      </c>
      <c r="G1049" s="168"/>
    </row>
    <row r="1050" spans="1:7" s="169" customFormat="1">
      <c r="A1050" s="31">
        <f t="shared" si="42"/>
        <v>22</v>
      </c>
      <c r="B1050" s="23" t="s">
        <v>993</v>
      </c>
      <c r="C1050" s="31" t="s">
        <v>142</v>
      </c>
      <c r="D1050" s="104"/>
      <c r="E1050" s="104">
        <v>319300</v>
      </c>
      <c r="F1050" s="104">
        <v>319300</v>
      </c>
      <c r="G1050" s="168"/>
    </row>
    <row r="1051" spans="1:7" s="169" customFormat="1">
      <c r="A1051" s="31"/>
      <c r="B1051" s="8" t="s">
        <v>994</v>
      </c>
      <c r="C1051" s="12"/>
      <c r="D1051" s="126"/>
      <c r="E1051" s="104"/>
      <c r="F1051" s="104"/>
      <c r="G1051" s="168"/>
    </row>
    <row r="1052" spans="1:7" s="169" customFormat="1">
      <c r="A1052" s="31">
        <f>+A1050+1</f>
        <v>23</v>
      </c>
      <c r="B1052" s="23" t="s">
        <v>995</v>
      </c>
      <c r="C1052" s="31" t="s">
        <v>142</v>
      </c>
      <c r="D1052" s="104"/>
      <c r="E1052" s="104">
        <v>408000</v>
      </c>
      <c r="F1052" s="104">
        <v>408000</v>
      </c>
      <c r="G1052" s="168"/>
    </row>
    <row r="1053" spans="1:7" s="169" customFormat="1">
      <c r="A1053" s="31">
        <f t="shared" si="42"/>
        <v>24</v>
      </c>
      <c r="B1053" s="23" t="s">
        <v>996</v>
      </c>
      <c r="C1053" s="31" t="s">
        <v>142</v>
      </c>
      <c r="D1053" s="104"/>
      <c r="E1053" s="104">
        <v>475700</v>
      </c>
      <c r="F1053" s="104">
        <v>475700</v>
      </c>
      <c r="G1053" s="168"/>
    </row>
    <row r="1054" spans="1:7" s="169" customFormat="1">
      <c r="A1054" s="31"/>
      <c r="B1054" s="8" t="s">
        <v>997</v>
      </c>
      <c r="C1054" s="12"/>
      <c r="D1054" s="126"/>
      <c r="E1054" s="104"/>
      <c r="F1054" s="104"/>
      <c r="G1054" s="168"/>
    </row>
    <row r="1055" spans="1:7" s="169" customFormat="1">
      <c r="A1055" s="31">
        <f>+A1053+1</f>
        <v>25</v>
      </c>
      <c r="B1055" s="6" t="s">
        <v>998</v>
      </c>
      <c r="C1055" s="31" t="s">
        <v>135</v>
      </c>
      <c r="D1055" s="104"/>
      <c r="E1055" s="104">
        <v>1600</v>
      </c>
      <c r="F1055" s="104">
        <v>1600</v>
      </c>
      <c r="G1055" s="168"/>
    </row>
    <row r="1056" spans="1:7" s="169" customFormat="1">
      <c r="A1056" s="31">
        <f t="shared" si="42"/>
        <v>26</v>
      </c>
      <c r="B1056" s="6" t="s">
        <v>999</v>
      </c>
      <c r="C1056" s="31" t="s">
        <v>135</v>
      </c>
      <c r="D1056" s="104"/>
      <c r="E1056" s="104">
        <v>2200</v>
      </c>
      <c r="F1056" s="104">
        <v>2200</v>
      </c>
      <c r="G1056" s="168"/>
    </row>
    <row r="1057" spans="1:7" s="169" customFormat="1">
      <c r="A1057" s="31">
        <f t="shared" si="42"/>
        <v>27</v>
      </c>
      <c r="B1057" s="6" t="s">
        <v>1000</v>
      </c>
      <c r="C1057" s="31" t="s">
        <v>135</v>
      </c>
      <c r="D1057" s="104"/>
      <c r="E1057" s="104">
        <v>3700</v>
      </c>
      <c r="F1057" s="104">
        <v>3700</v>
      </c>
      <c r="G1057" s="168"/>
    </row>
    <row r="1058" spans="1:7" s="169" customFormat="1">
      <c r="A1058" s="31">
        <f t="shared" si="42"/>
        <v>28</v>
      </c>
      <c r="B1058" s="6" t="s">
        <v>1001</v>
      </c>
      <c r="C1058" s="31" t="s">
        <v>135</v>
      </c>
      <c r="D1058" s="104"/>
      <c r="E1058" s="104">
        <v>5100</v>
      </c>
      <c r="F1058" s="104">
        <v>5100</v>
      </c>
      <c r="G1058" s="168"/>
    </row>
    <row r="1059" spans="1:7" s="169" customFormat="1">
      <c r="A1059" s="31">
        <f t="shared" si="42"/>
        <v>29</v>
      </c>
      <c r="B1059" s="6" t="s">
        <v>1002</v>
      </c>
      <c r="C1059" s="31" t="s">
        <v>135</v>
      </c>
      <c r="D1059" s="104"/>
      <c r="E1059" s="104">
        <v>7900</v>
      </c>
      <c r="F1059" s="104">
        <v>7900</v>
      </c>
      <c r="G1059" s="168"/>
    </row>
    <row r="1060" spans="1:7" s="169" customFormat="1">
      <c r="A1060" s="31">
        <f t="shared" si="42"/>
        <v>30</v>
      </c>
      <c r="B1060" s="6" t="s">
        <v>1003</v>
      </c>
      <c r="C1060" s="31" t="s">
        <v>135</v>
      </c>
      <c r="D1060" s="104"/>
      <c r="E1060" s="104">
        <v>12200</v>
      </c>
      <c r="F1060" s="104">
        <v>12200</v>
      </c>
      <c r="G1060" s="168"/>
    </row>
    <row r="1061" spans="1:7" s="169" customFormat="1">
      <c r="A1061" s="31">
        <f t="shared" si="42"/>
        <v>31</v>
      </c>
      <c r="B1061" s="6" t="s">
        <v>1004</v>
      </c>
      <c r="C1061" s="31" t="s">
        <v>135</v>
      </c>
      <c r="D1061" s="104"/>
      <c r="E1061" s="104">
        <v>15800</v>
      </c>
      <c r="F1061" s="104">
        <v>15800</v>
      </c>
      <c r="G1061" s="168"/>
    </row>
    <row r="1062" spans="1:7" s="169" customFormat="1">
      <c r="A1062" s="31">
        <f t="shared" si="42"/>
        <v>32</v>
      </c>
      <c r="B1062" s="6" t="s">
        <v>1005</v>
      </c>
      <c r="C1062" s="31" t="s">
        <v>135</v>
      </c>
      <c r="D1062" s="104"/>
      <c r="E1062" s="104">
        <v>25000</v>
      </c>
      <c r="F1062" s="104">
        <v>25000</v>
      </c>
      <c r="G1062" s="168"/>
    </row>
    <row r="1063" spans="1:7" s="169" customFormat="1">
      <c r="A1063" s="31">
        <f t="shared" si="42"/>
        <v>33</v>
      </c>
      <c r="B1063" s="6" t="s">
        <v>1006</v>
      </c>
      <c r="C1063" s="31" t="s">
        <v>135</v>
      </c>
      <c r="D1063" s="104"/>
      <c r="E1063" s="104">
        <v>51300</v>
      </c>
      <c r="F1063" s="104">
        <v>50600</v>
      </c>
      <c r="G1063" s="168"/>
    </row>
    <row r="1064" spans="1:7" s="169" customFormat="1">
      <c r="A1064" s="31">
        <f t="shared" si="42"/>
        <v>34</v>
      </c>
      <c r="B1064" s="6" t="s">
        <v>1007</v>
      </c>
      <c r="C1064" s="31" t="s">
        <v>135</v>
      </c>
      <c r="D1064" s="104"/>
      <c r="E1064" s="104">
        <v>52800</v>
      </c>
      <c r="F1064" s="104">
        <v>52800</v>
      </c>
      <c r="G1064" s="168"/>
    </row>
    <row r="1065" spans="1:7" s="169" customFormat="1">
      <c r="A1065" s="31">
        <f t="shared" si="42"/>
        <v>35</v>
      </c>
      <c r="B1065" s="6" t="s">
        <v>1008</v>
      </c>
      <c r="C1065" s="31" t="s">
        <v>135</v>
      </c>
      <c r="D1065" s="104"/>
      <c r="E1065" s="104">
        <v>83200</v>
      </c>
      <c r="F1065" s="104">
        <v>83200</v>
      </c>
      <c r="G1065" s="168"/>
    </row>
    <row r="1066" spans="1:7" s="169" customFormat="1">
      <c r="A1066" s="31">
        <f t="shared" si="42"/>
        <v>36</v>
      </c>
      <c r="B1066" s="6" t="s">
        <v>1009</v>
      </c>
      <c r="C1066" s="31" t="s">
        <v>135</v>
      </c>
      <c r="D1066" s="104"/>
      <c r="E1066" s="104">
        <v>145400</v>
      </c>
      <c r="F1066" s="104">
        <v>115800</v>
      </c>
      <c r="G1066" s="168"/>
    </row>
    <row r="1067" spans="1:7" s="169" customFormat="1">
      <c r="A1067" s="31">
        <f t="shared" si="42"/>
        <v>37</v>
      </c>
      <c r="B1067" s="6" t="s">
        <v>1010</v>
      </c>
      <c r="C1067" s="31" t="s">
        <v>135</v>
      </c>
      <c r="D1067" s="104"/>
      <c r="E1067" s="104">
        <v>132600</v>
      </c>
      <c r="F1067" s="104">
        <v>132600</v>
      </c>
      <c r="G1067" s="168"/>
    </row>
    <row r="1068" spans="1:7" s="169" customFormat="1" ht="16.5">
      <c r="A1068" s="31">
        <f t="shared" si="42"/>
        <v>38</v>
      </c>
      <c r="B1068" s="6" t="s">
        <v>1011</v>
      </c>
      <c r="C1068" s="31" t="s">
        <v>135</v>
      </c>
      <c r="D1068" s="104"/>
      <c r="E1068" s="104">
        <v>1900</v>
      </c>
      <c r="F1068" s="104">
        <v>1900</v>
      </c>
      <c r="G1068" s="168"/>
    </row>
    <row r="1069" spans="1:7" s="169" customFormat="1" ht="16.5">
      <c r="A1069" s="31">
        <f t="shared" si="42"/>
        <v>39</v>
      </c>
      <c r="B1069" s="6" t="s">
        <v>1012</v>
      </c>
      <c r="C1069" s="31" t="s">
        <v>135</v>
      </c>
      <c r="D1069" s="104"/>
      <c r="E1069" s="104">
        <v>2800</v>
      </c>
      <c r="F1069" s="104">
        <v>2800</v>
      </c>
      <c r="G1069" s="168"/>
    </row>
    <row r="1070" spans="1:7" s="169" customFormat="1" ht="16.5">
      <c r="A1070" s="31">
        <f t="shared" si="42"/>
        <v>40</v>
      </c>
      <c r="B1070" s="6" t="s">
        <v>1013</v>
      </c>
      <c r="C1070" s="31" t="s">
        <v>135</v>
      </c>
      <c r="D1070" s="104"/>
      <c r="E1070" s="104">
        <v>4500</v>
      </c>
      <c r="F1070" s="104">
        <v>4500</v>
      </c>
      <c r="G1070" s="168"/>
    </row>
    <row r="1071" spans="1:7" s="169" customFormat="1" ht="16.5">
      <c r="A1071" s="31">
        <f t="shared" si="42"/>
        <v>41</v>
      </c>
      <c r="B1071" s="6" t="s">
        <v>1014</v>
      </c>
      <c r="C1071" s="31" t="s">
        <v>135</v>
      </c>
      <c r="D1071" s="104"/>
      <c r="E1071" s="104">
        <v>6300</v>
      </c>
      <c r="F1071" s="104">
        <v>6300</v>
      </c>
      <c r="G1071" s="168"/>
    </row>
    <row r="1072" spans="1:7" s="169" customFormat="1" ht="16.5">
      <c r="A1072" s="31">
        <f t="shared" si="42"/>
        <v>42</v>
      </c>
      <c r="B1072" s="6" t="s">
        <v>1015</v>
      </c>
      <c r="C1072" s="31" t="s">
        <v>135</v>
      </c>
      <c r="D1072" s="104"/>
      <c r="E1072" s="104">
        <v>9600</v>
      </c>
      <c r="F1072" s="104">
        <v>9600</v>
      </c>
      <c r="G1072" s="168"/>
    </row>
    <row r="1073" spans="1:7" s="169" customFormat="1" ht="16.5">
      <c r="A1073" s="31">
        <f t="shared" si="42"/>
        <v>43</v>
      </c>
      <c r="B1073" s="6" t="s">
        <v>1016</v>
      </c>
      <c r="C1073" s="31" t="s">
        <v>135</v>
      </c>
      <c r="D1073" s="104"/>
      <c r="E1073" s="104">
        <v>14800</v>
      </c>
      <c r="F1073" s="104">
        <v>14800</v>
      </c>
      <c r="G1073" s="168"/>
    </row>
    <row r="1074" spans="1:7" s="169" customFormat="1" ht="16.5">
      <c r="A1074" s="31">
        <f t="shared" si="42"/>
        <v>44</v>
      </c>
      <c r="B1074" s="23" t="s">
        <v>1017</v>
      </c>
      <c r="C1074" s="31" t="s">
        <v>135</v>
      </c>
      <c r="D1074" s="104"/>
      <c r="E1074" s="104">
        <v>21900</v>
      </c>
      <c r="F1074" s="104">
        <v>15800</v>
      </c>
      <c r="G1074" s="168"/>
    </row>
    <row r="1075" spans="1:7" s="169" customFormat="1" ht="16.5">
      <c r="A1075" s="31">
        <f t="shared" si="42"/>
        <v>45</v>
      </c>
      <c r="B1075" s="6" t="s">
        <v>1018</v>
      </c>
      <c r="C1075" s="31" t="s">
        <v>135</v>
      </c>
      <c r="D1075" s="104"/>
      <c r="E1075" s="104">
        <v>33900</v>
      </c>
      <c r="F1075" s="104">
        <v>33900</v>
      </c>
      <c r="G1075" s="168"/>
    </row>
    <row r="1076" spans="1:7" s="169" customFormat="1" ht="16.5">
      <c r="A1076" s="31">
        <f t="shared" si="42"/>
        <v>46</v>
      </c>
      <c r="B1076" s="6" t="s">
        <v>1019</v>
      </c>
      <c r="C1076" s="31" t="s">
        <v>135</v>
      </c>
      <c r="D1076" s="104"/>
      <c r="E1076" s="104">
        <v>57500</v>
      </c>
      <c r="F1076" s="104">
        <v>57500</v>
      </c>
      <c r="G1076" s="168"/>
    </row>
    <row r="1077" spans="1:7" s="169" customFormat="1" ht="16.5">
      <c r="A1077" s="31">
        <f t="shared" si="42"/>
        <v>47</v>
      </c>
      <c r="B1077" s="6" t="s">
        <v>1020</v>
      </c>
      <c r="C1077" s="31" t="s">
        <v>135</v>
      </c>
      <c r="D1077" s="104"/>
      <c r="E1077" s="104">
        <v>70800</v>
      </c>
      <c r="F1077" s="104">
        <v>70800</v>
      </c>
      <c r="G1077" s="168"/>
    </row>
    <row r="1078" spans="1:7" s="169" customFormat="1" ht="16.5">
      <c r="A1078" s="31">
        <f t="shared" si="42"/>
        <v>48</v>
      </c>
      <c r="B1078" s="6" t="s">
        <v>1021</v>
      </c>
      <c r="C1078" s="31" t="s">
        <v>135</v>
      </c>
      <c r="D1078" s="104"/>
      <c r="E1078" s="104">
        <v>117100</v>
      </c>
      <c r="F1078" s="104">
        <v>117100</v>
      </c>
      <c r="G1078" s="168"/>
    </row>
    <row r="1079" spans="1:7" s="169" customFormat="1" ht="16.5">
      <c r="A1079" s="31">
        <f t="shared" si="42"/>
        <v>49</v>
      </c>
      <c r="B1079" s="23" t="s">
        <v>1022</v>
      </c>
      <c r="C1079" s="31" t="s">
        <v>135</v>
      </c>
      <c r="D1079" s="104"/>
      <c r="E1079" s="104">
        <v>156500</v>
      </c>
      <c r="F1079" s="104">
        <v>134300</v>
      </c>
      <c r="G1079" s="168"/>
    </row>
    <row r="1080" spans="1:7" s="169" customFormat="1">
      <c r="A1080" s="31">
        <f t="shared" si="42"/>
        <v>50</v>
      </c>
      <c r="B1080" s="6" t="s">
        <v>1023</v>
      </c>
      <c r="C1080" s="31" t="s">
        <v>135</v>
      </c>
      <c r="D1080" s="104"/>
      <c r="E1080" s="104">
        <v>2800</v>
      </c>
      <c r="F1080" s="104">
        <v>2800</v>
      </c>
      <c r="G1080" s="168"/>
    </row>
    <row r="1081" spans="1:7" s="169" customFormat="1">
      <c r="A1081" s="31">
        <f t="shared" si="42"/>
        <v>51</v>
      </c>
      <c r="B1081" s="6" t="s">
        <v>1024</v>
      </c>
      <c r="C1081" s="31" t="s">
        <v>135</v>
      </c>
      <c r="D1081" s="104"/>
      <c r="E1081" s="104">
        <v>4600</v>
      </c>
      <c r="F1081" s="104">
        <v>4600</v>
      </c>
      <c r="G1081" s="168"/>
    </row>
    <row r="1082" spans="1:7" s="169" customFormat="1">
      <c r="A1082" s="31">
        <f t="shared" si="42"/>
        <v>52</v>
      </c>
      <c r="B1082" s="6" t="s">
        <v>1025</v>
      </c>
      <c r="C1082" s="31" t="s">
        <v>135</v>
      </c>
      <c r="D1082" s="104"/>
      <c r="E1082" s="104">
        <v>7400</v>
      </c>
      <c r="F1082" s="104">
        <v>7400</v>
      </c>
      <c r="G1082" s="168"/>
    </row>
    <row r="1083" spans="1:7" s="169" customFormat="1">
      <c r="A1083" s="31">
        <f t="shared" si="42"/>
        <v>53</v>
      </c>
      <c r="B1083" s="6" t="s">
        <v>1026</v>
      </c>
      <c r="C1083" s="31" t="s">
        <v>135</v>
      </c>
      <c r="D1083" s="104"/>
      <c r="E1083" s="104">
        <v>9800</v>
      </c>
      <c r="F1083" s="104">
        <v>9800</v>
      </c>
      <c r="G1083" s="168"/>
    </row>
    <row r="1084" spans="1:7" s="169" customFormat="1">
      <c r="A1084" s="31">
        <f t="shared" si="42"/>
        <v>54</v>
      </c>
      <c r="B1084" s="6" t="s">
        <v>1027</v>
      </c>
      <c r="C1084" s="31" t="s">
        <v>135</v>
      </c>
      <c r="D1084" s="104"/>
      <c r="E1084" s="104">
        <v>14500</v>
      </c>
      <c r="F1084" s="104">
        <v>14500</v>
      </c>
      <c r="G1084" s="168"/>
    </row>
    <row r="1085" spans="1:7" s="169" customFormat="1">
      <c r="A1085" s="31">
        <f t="shared" si="42"/>
        <v>55</v>
      </c>
      <c r="B1085" s="6" t="s">
        <v>1028</v>
      </c>
      <c r="C1085" s="31" t="s">
        <v>135</v>
      </c>
      <c r="D1085" s="104"/>
      <c r="E1085" s="104">
        <v>24900</v>
      </c>
      <c r="F1085" s="104">
        <v>24900</v>
      </c>
      <c r="G1085" s="168"/>
    </row>
    <row r="1086" spans="1:7" s="169" customFormat="1">
      <c r="A1086" s="31">
        <f t="shared" si="42"/>
        <v>56</v>
      </c>
      <c r="B1086" s="6" t="s">
        <v>1029</v>
      </c>
      <c r="C1086" s="31" t="s">
        <v>135</v>
      </c>
      <c r="D1086" s="104"/>
      <c r="E1086" s="104">
        <v>37000</v>
      </c>
      <c r="F1086" s="104">
        <v>37000</v>
      </c>
      <c r="G1086" s="168"/>
    </row>
    <row r="1087" spans="1:7" s="169" customFormat="1">
      <c r="A1087" s="31">
        <f t="shared" si="42"/>
        <v>57</v>
      </c>
      <c r="B1087" s="6" t="s">
        <v>1030</v>
      </c>
      <c r="C1087" s="31" t="s">
        <v>135</v>
      </c>
      <c r="D1087" s="104"/>
      <c r="E1087" s="104">
        <v>62700</v>
      </c>
      <c r="F1087" s="104">
        <v>62700</v>
      </c>
      <c r="G1087" s="168"/>
    </row>
    <row r="1088" spans="1:7" s="169" customFormat="1">
      <c r="A1088" s="31">
        <f t="shared" si="42"/>
        <v>58</v>
      </c>
      <c r="B1088" s="6" t="s">
        <v>1031</v>
      </c>
      <c r="C1088" s="31" t="s">
        <v>135</v>
      </c>
      <c r="D1088" s="104"/>
      <c r="E1088" s="104">
        <v>103600</v>
      </c>
      <c r="F1088" s="104">
        <v>103600</v>
      </c>
      <c r="G1088" s="168"/>
    </row>
    <row r="1089" spans="1:7" s="169" customFormat="1">
      <c r="A1089" s="31">
        <f t="shared" si="42"/>
        <v>59</v>
      </c>
      <c r="B1089" s="6" t="s">
        <v>1032</v>
      </c>
      <c r="C1089" s="31" t="s">
        <v>135</v>
      </c>
      <c r="D1089" s="104"/>
      <c r="E1089" s="104">
        <v>127900</v>
      </c>
      <c r="F1089" s="104">
        <v>127900</v>
      </c>
      <c r="G1089" s="168"/>
    </row>
    <row r="1090" spans="1:7" s="169" customFormat="1">
      <c r="A1090" s="31">
        <f t="shared" si="42"/>
        <v>60</v>
      </c>
      <c r="B1090" s="6" t="s">
        <v>1033</v>
      </c>
      <c r="C1090" s="31" t="s">
        <v>135</v>
      </c>
      <c r="D1090" s="104"/>
      <c r="E1090" s="104">
        <v>217200</v>
      </c>
      <c r="F1090" s="104">
        <v>217200</v>
      </c>
      <c r="G1090" s="168"/>
    </row>
    <row r="1091" spans="1:7" s="169" customFormat="1">
      <c r="A1091" s="31">
        <f t="shared" si="42"/>
        <v>61</v>
      </c>
      <c r="B1091" s="6" t="s">
        <v>1034</v>
      </c>
      <c r="C1091" s="31" t="s">
        <v>814</v>
      </c>
      <c r="D1091" s="104"/>
      <c r="E1091" s="104">
        <v>100900</v>
      </c>
      <c r="F1091" s="104">
        <v>100900</v>
      </c>
      <c r="G1091" s="168"/>
    </row>
    <row r="1092" spans="1:7" s="169" customFormat="1">
      <c r="A1092" s="31">
        <f t="shared" si="42"/>
        <v>62</v>
      </c>
      <c r="B1092" s="6" t="s">
        <v>1035</v>
      </c>
      <c r="C1092" s="31" t="s">
        <v>78</v>
      </c>
      <c r="D1092" s="104"/>
      <c r="E1092" s="104">
        <v>67300</v>
      </c>
      <c r="F1092" s="104">
        <v>67300</v>
      </c>
      <c r="G1092" s="168"/>
    </row>
    <row r="1093" spans="1:7" s="169" customFormat="1">
      <c r="A1093" s="31"/>
      <c r="B1093" s="222" t="s">
        <v>1036</v>
      </c>
      <c r="C1093" s="222"/>
      <c r="D1093" s="222"/>
      <c r="E1093" s="222"/>
      <c r="F1093" s="222"/>
      <c r="G1093" s="168"/>
    </row>
    <row r="1094" spans="1:7" s="169" customFormat="1">
      <c r="A1094" s="31">
        <f>+A1092+1</f>
        <v>63</v>
      </c>
      <c r="B1094" s="23" t="s">
        <v>1037</v>
      </c>
      <c r="C1094" s="31" t="s">
        <v>142</v>
      </c>
      <c r="D1094" s="104"/>
      <c r="E1094" s="104">
        <v>387100</v>
      </c>
      <c r="F1094" s="104">
        <v>387100</v>
      </c>
      <c r="G1094" s="168"/>
    </row>
    <row r="1095" spans="1:7" s="169" customFormat="1">
      <c r="A1095" s="31">
        <f t="shared" si="42"/>
        <v>64</v>
      </c>
      <c r="B1095" s="23" t="s">
        <v>1038</v>
      </c>
      <c r="C1095" s="31" t="s">
        <v>142</v>
      </c>
      <c r="D1095" s="104"/>
      <c r="E1095" s="104">
        <v>473400</v>
      </c>
      <c r="F1095" s="104">
        <v>473400</v>
      </c>
      <c r="G1095" s="168"/>
    </row>
    <row r="1096" spans="1:7" s="169" customFormat="1">
      <c r="A1096" s="31">
        <f t="shared" si="42"/>
        <v>65</v>
      </c>
      <c r="B1096" s="23" t="s">
        <v>1039</v>
      </c>
      <c r="C1096" s="31" t="s">
        <v>142</v>
      </c>
      <c r="D1096" s="104"/>
      <c r="E1096" s="104">
        <v>571500</v>
      </c>
      <c r="F1096" s="104">
        <v>571500</v>
      </c>
      <c r="G1096" s="168"/>
    </row>
    <row r="1097" spans="1:7" s="169" customFormat="1">
      <c r="A1097" s="31">
        <f t="shared" ref="A1097:A1145" si="43">+A1096+1</f>
        <v>66</v>
      </c>
      <c r="B1097" s="23" t="s">
        <v>1040</v>
      </c>
      <c r="C1097" s="31" t="s">
        <v>142</v>
      </c>
      <c r="D1097" s="104"/>
      <c r="E1097" s="104">
        <v>477600</v>
      </c>
      <c r="F1097" s="104">
        <v>477600</v>
      </c>
      <c r="G1097" s="168"/>
    </row>
    <row r="1098" spans="1:7" s="169" customFormat="1">
      <c r="A1098" s="31">
        <f t="shared" si="43"/>
        <v>67</v>
      </c>
      <c r="B1098" s="23" t="s">
        <v>1041</v>
      </c>
      <c r="C1098" s="31" t="s">
        <v>142</v>
      </c>
      <c r="D1098" s="104"/>
      <c r="E1098" s="104">
        <v>580600</v>
      </c>
      <c r="F1098" s="104">
        <v>580600</v>
      </c>
      <c r="G1098" s="168"/>
    </row>
    <row r="1099" spans="1:7" s="169" customFormat="1">
      <c r="A1099" s="31">
        <f t="shared" si="43"/>
        <v>68</v>
      </c>
      <c r="B1099" s="23" t="s">
        <v>1042</v>
      </c>
      <c r="C1099" s="31" t="s">
        <v>142</v>
      </c>
      <c r="D1099" s="104"/>
      <c r="E1099" s="104">
        <v>704800</v>
      </c>
      <c r="F1099" s="104">
        <v>704800</v>
      </c>
      <c r="G1099" s="168"/>
    </row>
    <row r="1100" spans="1:7" s="169" customFormat="1">
      <c r="A1100" s="31">
        <f t="shared" si="43"/>
        <v>69</v>
      </c>
      <c r="B1100" s="23" t="s">
        <v>1043</v>
      </c>
      <c r="C1100" s="31" t="s">
        <v>142</v>
      </c>
      <c r="D1100" s="104"/>
      <c r="E1100" s="104">
        <v>605800</v>
      </c>
      <c r="F1100" s="104">
        <v>605800</v>
      </c>
      <c r="G1100" s="168"/>
    </row>
    <row r="1101" spans="1:7" s="169" customFormat="1">
      <c r="A1101" s="31">
        <f t="shared" si="43"/>
        <v>70</v>
      </c>
      <c r="B1101" s="23" t="s">
        <v>1044</v>
      </c>
      <c r="C1101" s="31" t="s">
        <v>142</v>
      </c>
      <c r="D1101" s="104"/>
      <c r="E1101" s="104">
        <v>737300</v>
      </c>
      <c r="F1101" s="104">
        <v>737300</v>
      </c>
      <c r="G1101" s="168"/>
    </row>
    <row r="1102" spans="1:7" s="169" customFormat="1">
      <c r="A1102" s="31">
        <f t="shared" si="43"/>
        <v>71</v>
      </c>
      <c r="B1102" s="23" t="s">
        <v>1045</v>
      </c>
      <c r="C1102" s="31" t="s">
        <v>142</v>
      </c>
      <c r="D1102" s="104"/>
      <c r="E1102" s="104">
        <v>892000</v>
      </c>
      <c r="F1102" s="104">
        <v>892000</v>
      </c>
      <c r="G1102" s="168"/>
    </row>
    <row r="1103" spans="1:7" s="169" customFormat="1">
      <c r="A1103" s="31">
        <f t="shared" si="43"/>
        <v>72</v>
      </c>
      <c r="B1103" s="23" t="s">
        <v>1046</v>
      </c>
      <c r="C1103" s="31" t="s">
        <v>142</v>
      </c>
      <c r="D1103" s="104"/>
      <c r="E1103" s="104">
        <v>742400</v>
      </c>
      <c r="F1103" s="104">
        <v>742400</v>
      </c>
      <c r="G1103" s="168"/>
    </row>
    <row r="1104" spans="1:7" s="169" customFormat="1">
      <c r="A1104" s="31">
        <f t="shared" si="43"/>
        <v>73</v>
      </c>
      <c r="B1104" s="23" t="s">
        <v>1047</v>
      </c>
      <c r="C1104" s="31" t="s">
        <v>142</v>
      </c>
      <c r="D1104" s="104"/>
      <c r="E1104" s="104">
        <v>908300</v>
      </c>
      <c r="F1104" s="104">
        <v>908300</v>
      </c>
      <c r="G1104" s="168"/>
    </row>
    <row r="1105" spans="1:7" s="169" customFormat="1">
      <c r="A1105" s="31">
        <f t="shared" si="43"/>
        <v>74</v>
      </c>
      <c r="B1105" s="23" t="s">
        <v>1048</v>
      </c>
      <c r="C1105" s="31" t="s">
        <v>142</v>
      </c>
      <c r="D1105" s="104"/>
      <c r="E1105" s="104">
        <v>1097100</v>
      </c>
      <c r="F1105" s="104">
        <v>1097100</v>
      </c>
      <c r="G1105" s="168"/>
    </row>
    <row r="1106" spans="1:7" s="169" customFormat="1">
      <c r="A1106" s="31">
        <f t="shared" si="43"/>
        <v>75</v>
      </c>
      <c r="B1106" s="23" t="s">
        <v>1049</v>
      </c>
      <c r="C1106" s="31" t="s">
        <v>142</v>
      </c>
      <c r="D1106" s="104"/>
      <c r="E1106" s="104">
        <v>932700</v>
      </c>
      <c r="F1106" s="104">
        <v>932700</v>
      </c>
      <c r="G1106" s="168"/>
    </row>
    <row r="1107" spans="1:7" s="169" customFormat="1">
      <c r="A1107" s="31">
        <f t="shared" si="43"/>
        <v>76</v>
      </c>
      <c r="B1107" s="23" t="s">
        <v>1050</v>
      </c>
      <c r="C1107" s="31" t="s">
        <v>142</v>
      </c>
      <c r="D1107" s="104"/>
      <c r="E1107" s="104">
        <v>1138000</v>
      </c>
      <c r="F1107" s="104">
        <v>1138000</v>
      </c>
      <c r="G1107" s="168"/>
    </row>
    <row r="1108" spans="1:7" s="169" customFormat="1">
      <c r="A1108" s="31">
        <f t="shared" si="43"/>
        <v>77</v>
      </c>
      <c r="B1108" s="23" t="s">
        <v>1051</v>
      </c>
      <c r="C1108" s="31" t="s">
        <v>142</v>
      </c>
      <c r="D1108" s="104"/>
      <c r="E1108" s="104">
        <v>1375400</v>
      </c>
      <c r="F1108" s="104">
        <v>1375400</v>
      </c>
      <c r="G1108" s="168"/>
    </row>
    <row r="1109" spans="1:7" s="169" customFormat="1">
      <c r="A1109" s="31">
        <f t="shared" si="43"/>
        <v>78</v>
      </c>
      <c r="B1109" s="23" t="s">
        <v>1052</v>
      </c>
      <c r="C1109" s="31" t="s">
        <v>142</v>
      </c>
      <c r="D1109" s="104"/>
      <c r="E1109" s="104">
        <v>1181200</v>
      </c>
      <c r="F1109" s="104">
        <v>1181200</v>
      </c>
      <c r="G1109" s="168"/>
    </row>
    <row r="1110" spans="1:7" s="169" customFormat="1">
      <c r="A1110" s="31">
        <f t="shared" si="43"/>
        <v>79</v>
      </c>
      <c r="B1110" s="23" t="s">
        <v>1053</v>
      </c>
      <c r="C1110" s="31" t="s">
        <v>142</v>
      </c>
      <c r="D1110" s="104"/>
      <c r="E1110" s="104">
        <v>1442300</v>
      </c>
      <c r="F1110" s="104">
        <v>1442300</v>
      </c>
      <c r="G1110" s="168"/>
    </row>
    <row r="1111" spans="1:7" s="169" customFormat="1">
      <c r="A1111" s="31">
        <f t="shared" si="43"/>
        <v>80</v>
      </c>
      <c r="B1111" s="23" t="s">
        <v>1054</v>
      </c>
      <c r="C1111" s="31" t="s">
        <v>142</v>
      </c>
      <c r="D1111" s="104"/>
      <c r="E1111" s="104">
        <v>1741000</v>
      </c>
      <c r="F1111" s="104">
        <v>1741000</v>
      </c>
      <c r="G1111" s="168"/>
    </row>
    <row r="1112" spans="1:7" s="169" customFormat="1">
      <c r="A1112" s="31"/>
      <c r="B1112" s="8" t="s">
        <v>1055</v>
      </c>
      <c r="C1112" s="31"/>
      <c r="D1112" s="104"/>
      <c r="E1112" s="104"/>
      <c r="F1112" s="104"/>
      <c r="G1112" s="168"/>
    </row>
    <row r="1113" spans="1:7" s="169" customFormat="1">
      <c r="A1113" s="31">
        <f>+A1111+1</f>
        <v>81</v>
      </c>
      <c r="B1113" s="6" t="s">
        <v>1056</v>
      </c>
      <c r="C1113" s="12" t="s">
        <v>142</v>
      </c>
      <c r="D1113" s="104"/>
      <c r="E1113" s="104">
        <v>18100</v>
      </c>
      <c r="F1113" s="104">
        <f>E1113</f>
        <v>18100</v>
      </c>
      <c r="G1113" s="168"/>
    </row>
    <row r="1114" spans="1:7" s="169" customFormat="1">
      <c r="A1114" s="31">
        <f t="shared" si="43"/>
        <v>82</v>
      </c>
      <c r="B1114" s="6" t="s">
        <v>1057</v>
      </c>
      <c r="C1114" s="12" t="s">
        <v>142</v>
      </c>
      <c r="D1114" s="104"/>
      <c r="E1114" s="104">
        <v>43600</v>
      </c>
      <c r="F1114" s="104">
        <f t="shared" ref="F1114:F1119" si="44">E1114</f>
        <v>43600</v>
      </c>
      <c r="G1114" s="168"/>
    </row>
    <row r="1115" spans="1:7" s="169" customFormat="1">
      <c r="A1115" s="31">
        <f t="shared" si="43"/>
        <v>83</v>
      </c>
      <c r="B1115" s="6" t="s">
        <v>1058</v>
      </c>
      <c r="C1115" s="12" t="s">
        <v>142</v>
      </c>
      <c r="D1115" s="104"/>
      <c r="E1115" s="104">
        <v>69100</v>
      </c>
      <c r="F1115" s="104">
        <f t="shared" si="44"/>
        <v>69100</v>
      </c>
      <c r="G1115" s="168"/>
    </row>
    <row r="1116" spans="1:7" s="169" customFormat="1">
      <c r="A1116" s="31">
        <f t="shared" si="43"/>
        <v>84</v>
      </c>
      <c r="B1116" s="6" t="s">
        <v>1059</v>
      </c>
      <c r="C1116" s="12" t="s">
        <v>142</v>
      </c>
      <c r="D1116" s="104"/>
      <c r="E1116" s="104">
        <v>168700</v>
      </c>
      <c r="F1116" s="104">
        <f t="shared" si="44"/>
        <v>168700</v>
      </c>
      <c r="G1116" s="168"/>
    </row>
    <row r="1117" spans="1:7" s="169" customFormat="1">
      <c r="A1117" s="31">
        <f t="shared" si="43"/>
        <v>85</v>
      </c>
      <c r="B1117" s="6" t="s">
        <v>1060</v>
      </c>
      <c r="C1117" s="12" t="s">
        <v>142</v>
      </c>
      <c r="D1117" s="104"/>
      <c r="E1117" s="104">
        <v>285000</v>
      </c>
      <c r="F1117" s="104">
        <f t="shared" si="44"/>
        <v>285000</v>
      </c>
      <c r="G1117" s="168"/>
    </row>
    <row r="1118" spans="1:7" s="169" customFormat="1">
      <c r="A1118" s="31">
        <f t="shared" si="43"/>
        <v>86</v>
      </c>
      <c r="B1118" s="6" t="s">
        <v>1061</v>
      </c>
      <c r="C1118" s="12" t="s">
        <v>142</v>
      </c>
      <c r="D1118" s="104"/>
      <c r="E1118" s="104">
        <v>600000</v>
      </c>
      <c r="F1118" s="104">
        <f t="shared" si="44"/>
        <v>600000</v>
      </c>
      <c r="G1118" s="168"/>
    </row>
    <row r="1119" spans="1:7" s="169" customFormat="1">
      <c r="A1119" s="32">
        <f t="shared" si="43"/>
        <v>87</v>
      </c>
      <c r="B1119" s="7" t="s">
        <v>1062</v>
      </c>
      <c r="C1119" s="52" t="s">
        <v>142</v>
      </c>
      <c r="D1119" s="106"/>
      <c r="E1119" s="106">
        <v>2032000</v>
      </c>
      <c r="F1119" s="106">
        <f t="shared" si="44"/>
        <v>2032000</v>
      </c>
      <c r="G1119" s="168"/>
    </row>
    <row r="1120" spans="1:7" s="169" customFormat="1" ht="15" customHeight="1">
      <c r="A1120" s="34"/>
      <c r="B1120" s="213" t="s">
        <v>1063</v>
      </c>
      <c r="C1120" s="213"/>
      <c r="D1120" s="213"/>
      <c r="E1120" s="213"/>
      <c r="F1120" s="213"/>
      <c r="G1120" s="168"/>
    </row>
    <row r="1121" spans="1:7" s="169" customFormat="1">
      <c r="A1121" s="31"/>
      <c r="B1121" s="8" t="s">
        <v>1064</v>
      </c>
      <c r="C1121" s="12"/>
      <c r="D1121" s="126"/>
      <c r="E1121" s="126"/>
      <c r="F1121" s="126"/>
      <c r="G1121" s="168"/>
    </row>
    <row r="1122" spans="1:7" s="169" customFormat="1">
      <c r="A1122" s="31">
        <v>1</v>
      </c>
      <c r="B1122" s="93" t="s">
        <v>1065</v>
      </c>
      <c r="C1122" s="73" t="s">
        <v>1066</v>
      </c>
      <c r="D1122" s="153"/>
      <c r="E1122" s="154">
        <v>6150</v>
      </c>
      <c r="F1122" s="154">
        <f>E1122</f>
        <v>6150</v>
      </c>
      <c r="G1122" s="168"/>
    </row>
    <row r="1123" spans="1:7" s="169" customFormat="1">
      <c r="A1123" s="31">
        <f t="shared" si="43"/>
        <v>2</v>
      </c>
      <c r="B1123" s="93" t="s">
        <v>1067</v>
      </c>
      <c r="C1123" s="73" t="s">
        <v>1066</v>
      </c>
      <c r="D1123" s="153"/>
      <c r="E1123" s="154">
        <v>7500</v>
      </c>
      <c r="F1123" s="154">
        <f t="shared" ref="F1123:F1135" si="45">E1123</f>
        <v>7500</v>
      </c>
      <c r="G1123" s="168"/>
    </row>
    <row r="1124" spans="1:7" s="169" customFormat="1">
      <c r="A1124" s="31">
        <f t="shared" si="43"/>
        <v>3</v>
      </c>
      <c r="B1124" s="93" t="s">
        <v>1068</v>
      </c>
      <c r="C1124" s="73" t="s">
        <v>1066</v>
      </c>
      <c r="D1124" s="153"/>
      <c r="E1124" s="154">
        <v>8750</v>
      </c>
      <c r="F1124" s="154">
        <f t="shared" si="45"/>
        <v>8750</v>
      </c>
      <c r="G1124" s="168"/>
    </row>
    <row r="1125" spans="1:7" s="169" customFormat="1">
      <c r="A1125" s="31">
        <f t="shared" si="43"/>
        <v>4</v>
      </c>
      <c r="B1125" s="93" t="s">
        <v>1069</v>
      </c>
      <c r="C1125" s="73" t="s">
        <v>1066</v>
      </c>
      <c r="D1125" s="153"/>
      <c r="E1125" s="154">
        <v>10500</v>
      </c>
      <c r="F1125" s="154">
        <f t="shared" si="45"/>
        <v>10500</v>
      </c>
      <c r="G1125" s="168"/>
    </row>
    <row r="1126" spans="1:7" s="169" customFormat="1">
      <c r="A1126" s="31">
        <f t="shared" si="43"/>
        <v>5</v>
      </c>
      <c r="B1126" s="93" t="s">
        <v>1070</v>
      </c>
      <c r="C1126" s="73" t="s">
        <v>1066</v>
      </c>
      <c r="D1126" s="153"/>
      <c r="E1126" s="154">
        <v>16350</v>
      </c>
      <c r="F1126" s="154">
        <f t="shared" si="45"/>
        <v>16350</v>
      </c>
      <c r="G1126" s="168"/>
    </row>
    <row r="1127" spans="1:7" s="169" customFormat="1">
      <c r="A1127" s="31">
        <f t="shared" si="43"/>
        <v>6</v>
      </c>
      <c r="B1127" s="93" t="s">
        <v>1071</v>
      </c>
      <c r="C1127" s="73" t="s">
        <v>1066</v>
      </c>
      <c r="D1127" s="153"/>
      <c r="E1127" s="154">
        <v>26600</v>
      </c>
      <c r="F1127" s="154">
        <f t="shared" si="45"/>
        <v>26600</v>
      </c>
      <c r="G1127" s="168"/>
    </row>
    <row r="1128" spans="1:7" s="169" customFormat="1">
      <c r="A1128" s="31">
        <f t="shared" si="43"/>
        <v>7</v>
      </c>
      <c r="B1128" s="93" t="s">
        <v>1072</v>
      </c>
      <c r="C1128" s="73" t="s">
        <v>1066</v>
      </c>
      <c r="D1128" s="153"/>
      <c r="E1128" s="154">
        <v>21350</v>
      </c>
      <c r="F1128" s="154">
        <f t="shared" si="45"/>
        <v>21350</v>
      </c>
      <c r="G1128" s="168"/>
    </row>
    <row r="1129" spans="1:7" s="169" customFormat="1">
      <c r="A1129" s="31">
        <f t="shared" si="43"/>
        <v>8</v>
      </c>
      <c r="B1129" s="93" t="s">
        <v>1073</v>
      </c>
      <c r="C1129" s="73" t="s">
        <v>1066</v>
      </c>
      <c r="D1129" s="153"/>
      <c r="E1129" s="154">
        <v>31400</v>
      </c>
      <c r="F1129" s="154">
        <f t="shared" si="45"/>
        <v>31400</v>
      </c>
      <c r="G1129" s="168"/>
    </row>
    <row r="1130" spans="1:7" s="169" customFormat="1">
      <c r="A1130" s="31">
        <f t="shared" si="43"/>
        <v>9</v>
      </c>
      <c r="B1130" s="93" t="s">
        <v>1074</v>
      </c>
      <c r="C1130" s="73" t="s">
        <v>1066</v>
      </c>
      <c r="D1130" s="153"/>
      <c r="E1130" s="154">
        <v>38900</v>
      </c>
      <c r="F1130" s="154">
        <f t="shared" si="45"/>
        <v>38900</v>
      </c>
      <c r="G1130" s="168"/>
    </row>
    <row r="1131" spans="1:7" s="169" customFormat="1">
      <c r="A1131" s="31">
        <f t="shared" si="43"/>
        <v>10</v>
      </c>
      <c r="B1131" s="93" t="s">
        <v>1075</v>
      </c>
      <c r="C1131" s="73" t="s">
        <v>1066</v>
      </c>
      <c r="D1131" s="153"/>
      <c r="E1131" s="154">
        <v>48200</v>
      </c>
      <c r="F1131" s="154">
        <f t="shared" si="45"/>
        <v>48200</v>
      </c>
      <c r="G1131" s="168"/>
    </row>
    <row r="1132" spans="1:7" s="169" customFormat="1">
      <c r="A1132" s="31">
        <f t="shared" si="43"/>
        <v>11</v>
      </c>
      <c r="B1132" s="93" t="s">
        <v>1076</v>
      </c>
      <c r="C1132" s="73" t="s">
        <v>1066</v>
      </c>
      <c r="D1132" s="153"/>
      <c r="E1132" s="154">
        <v>63150</v>
      </c>
      <c r="F1132" s="154">
        <f t="shared" si="45"/>
        <v>63150</v>
      </c>
      <c r="G1132" s="168"/>
    </row>
    <row r="1133" spans="1:7" s="169" customFormat="1">
      <c r="A1133" s="31">
        <f t="shared" si="43"/>
        <v>12</v>
      </c>
      <c r="B1133" s="93" t="s">
        <v>1077</v>
      </c>
      <c r="C1133" s="73" t="s">
        <v>1066</v>
      </c>
      <c r="D1133" s="153"/>
      <c r="E1133" s="154">
        <v>68700</v>
      </c>
      <c r="F1133" s="154">
        <f t="shared" si="45"/>
        <v>68700</v>
      </c>
      <c r="G1133" s="168"/>
    </row>
    <row r="1134" spans="1:7" s="169" customFormat="1">
      <c r="A1134" s="31">
        <f t="shared" si="43"/>
        <v>13</v>
      </c>
      <c r="B1134" s="93" t="s">
        <v>1078</v>
      </c>
      <c r="C1134" s="73" t="s">
        <v>1066</v>
      </c>
      <c r="D1134" s="153"/>
      <c r="E1134" s="154">
        <v>80900</v>
      </c>
      <c r="F1134" s="154">
        <f t="shared" si="45"/>
        <v>80900</v>
      </c>
      <c r="G1134" s="168"/>
    </row>
    <row r="1135" spans="1:7" s="169" customFormat="1">
      <c r="A1135" s="31">
        <f t="shared" si="43"/>
        <v>14</v>
      </c>
      <c r="B1135" s="93" t="s">
        <v>1079</v>
      </c>
      <c r="C1135" s="73" t="s">
        <v>1066</v>
      </c>
      <c r="D1135" s="153"/>
      <c r="E1135" s="154">
        <v>135700</v>
      </c>
      <c r="F1135" s="154">
        <f t="shared" si="45"/>
        <v>135700</v>
      </c>
      <c r="G1135" s="168"/>
    </row>
    <row r="1136" spans="1:7" s="169" customFormat="1" ht="27">
      <c r="A1136" s="31"/>
      <c r="B1136" s="8" t="s">
        <v>1080</v>
      </c>
      <c r="C1136" s="63"/>
      <c r="D1136" s="143"/>
      <c r="E1136" s="143"/>
      <c r="F1136" s="143"/>
      <c r="G1136" s="168"/>
    </row>
    <row r="1137" spans="1:7" s="169" customFormat="1">
      <c r="A1137" s="31">
        <f>+A1135+1</f>
        <v>15</v>
      </c>
      <c r="B1137" s="93" t="s">
        <v>1081</v>
      </c>
      <c r="C1137" s="73" t="s">
        <v>1066</v>
      </c>
      <c r="D1137" s="153"/>
      <c r="E1137" s="154">
        <v>43500</v>
      </c>
      <c r="F1137" s="154">
        <v>43500</v>
      </c>
      <c r="G1137" s="168"/>
    </row>
    <row r="1138" spans="1:7" s="169" customFormat="1">
      <c r="A1138" s="31">
        <f t="shared" si="43"/>
        <v>16</v>
      </c>
      <c r="B1138" s="93" t="s">
        <v>1082</v>
      </c>
      <c r="C1138" s="73" t="s">
        <v>1066</v>
      </c>
      <c r="D1138" s="153"/>
      <c r="E1138" s="154">
        <v>72000</v>
      </c>
      <c r="F1138" s="154">
        <v>72000</v>
      </c>
      <c r="G1138" s="168"/>
    </row>
    <row r="1139" spans="1:7" s="169" customFormat="1">
      <c r="A1139" s="31">
        <f t="shared" si="43"/>
        <v>17</v>
      </c>
      <c r="B1139" s="93" t="s">
        <v>1083</v>
      </c>
      <c r="C1139" s="73" t="s">
        <v>1066</v>
      </c>
      <c r="D1139" s="153"/>
      <c r="E1139" s="154">
        <v>116200</v>
      </c>
      <c r="F1139" s="154">
        <v>116200</v>
      </c>
      <c r="G1139" s="168"/>
    </row>
    <row r="1140" spans="1:7" s="169" customFormat="1">
      <c r="A1140" s="31">
        <f t="shared" si="43"/>
        <v>18</v>
      </c>
      <c r="B1140" s="93" t="s">
        <v>1084</v>
      </c>
      <c r="C1140" s="73" t="s">
        <v>1066</v>
      </c>
      <c r="D1140" s="153"/>
      <c r="E1140" s="154">
        <v>151000</v>
      </c>
      <c r="F1140" s="154">
        <v>151000</v>
      </c>
      <c r="G1140" s="168"/>
    </row>
    <row r="1141" spans="1:7" s="169" customFormat="1">
      <c r="A1141" s="31">
        <f t="shared" si="43"/>
        <v>19</v>
      </c>
      <c r="B1141" s="93" t="s">
        <v>1085</v>
      </c>
      <c r="C1141" s="73" t="s">
        <v>1066</v>
      </c>
      <c r="D1141" s="153"/>
      <c r="E1141" s="154">
        <v>235200</v>
      </c>
      <c r="F1141" s="154">
        <v>235200</v>
      </c>
      <c r="G1141" s="168"/>
    </row>
    <row r="1142" spans="1:7" s="169" customFormat="1" ht="27">
      <c r="A1142" s="31"/>
      <c r="B1142" s="8" t="s">
        <v>1086</v>
      </c>
      <c r="C1142" s="63"/>
      <c r="D1142" s="143"/>
      <c r="E1142" s="143"/>
      <c r="F1142" s="143"/>
      <c r="G1142" s="168"/>
    </row>
    <row r="1143" spans="1:7" s="169" customFormat="1">
      <c r="A1143" s="31">
        <f>+A1141+1</f>
        <v>20</v>
      </c>
      <c r="B1143" s="93" t="s">
        <v>1087</v>
      </c>
      <c r="C1143" s="73" t="s">
        <v>1066</v>
      </c>
      <c r="D1143" s="153"/>
      <c r="E1143" s="154">
        <v>151100</v>
      </c>
      <c r="F1143" s="154">
        <v>151100</v>
      </c>
      <c r="G1143" s="168"/>
    </row>
    <row r="1144" spans="1:7" s="169" customFormat="1">
      <c r="A1144" s="31">
        <f t="shared" si="43"/>
        <v>21</v>
      </c>
      <c r="B1144" s="93" t="s">
        <v>1088</v>
      </c>
      <c r="C1144" s="73" t="s">
        <v>1066</v>
      </c>
      <c r="D1144" s="153"/>
      <c r="E1144" s="154">
        <v>319200</v>
      </c>
      <c r="F1144" s="154">
        <v>319200</v>
      </c>
      <c r="G1144" s="168"/>
    </row>
    <row r="1145" spans="1:7" s="169" customFormat="1">
      <c r="A1145" s="31">
        <f t="shared" si="43"/>
        <v>22</v>
      </c>
      <c r="B1145" s="93" t="s">
        <v>1089</v>
      </c>
      <c r="C1145" s="73" t="s">
        <v>1066</v>
      </c>
      <c r="D1145" s="153"/>
      <c r="E1145" s="154">
        <v>406300</v>
      </c>
      <c r="F1145" s="154">
        <v>406300</v>
      </c>
      <c r="G1145" s="168"/>
    </row>
    <row r="1146" spans="1:7" s="169" customFormat="1">
      <c r="A1146" s="31"/>
      <c r="B1146" s="8" t="s">
        <v>1090</v>
      </c>
      <c r="C1146" s="12"/>
      <c r="D1146" s="126"/>
      <c r="E1146" s="104"/>
      <c r="F1146" s="104"/>
      <c r="G1146" s="168"/>
    </row>
    <row r="1147" spans="1:7" s="169" customFormat="1">
      <c r="A1147" s="31">
        <f>+A1145+1</f>
        <v>23</v>
      </c>
      <c r="B1147" s="93" t="s">
        <v>1091</v>
      </c>
      <c r="C1147" s="73" t="s">
        <v>1066</v>
      </c>
      <c r="D1147" s="153"/>
      <c r="E1147" s="154">
        <v>407900</v>
      </c>
      <c r="F1147" s="154">
        <v>407900</v>
      </c>
      <c r="G1147" s="168"/>
    </row>
    <row r="1148" spans="1:7" s="169" customFormat="1">
      <c r="A1148" s="31">
        <f t="shared" ref="A1148:A1202" si="46">+A1147+1</f>
        <v>24</v>
      </c>
      <c r="B1148" s="93" t="s">
        <v>1092</v>
      </c>
      <c r="C1148" s="73" t="s">
        <v>1066</v>
      </c>
      <c r="D1148" s="153"/>
      <c r="E1148" s="154">
        <v>475600</v>
      </c>
      <c r="F1148" s="154">
        <v>475600</v>
      </c>
      <c r="G1148" s="168"/>
    </row>
    <row r="1149" spans="1:7" s="169" customFormat="1">
      <c r="A1149" s="31">
        <f t="shared" si="46"/>
        <v>25</v>
      </c>
      <c r="B1149" s="93" t="s">
        <v>1093</v>
      </c>
      <c r="C1149" s="73" t="s">
        <v>1066</v>
      </c>
      <c r="D1149" s="153"/>
      <c r="E1149" s="154">
        <v>629900</v>
      </c>
      <c r="F1149" s="154">
        <v>629900</v>
      </c>
      <c r="G1149" s="168"/>
    </row>
    <row r="1150" spans="1:7" s="169" customFormat="1" ht="27">
      <c r="A1150" s="31"/>
      <c r="B1150" s="8" t="s">
        <v>1094</v>
      </c>
      <c r="C1150" s="12"/>
      <c r="D1150" s="126"/>
      <c r="E1150" s="104"/>
      <c r="F1150" s="104"/>
      <c r="G1150" s="168"/>
    </row>
    <row r="1151" spans="1:7" s="169" customFormat="1">
      <c r="A1151" s="31">
        <f>+A1149+1</f>
        <v>26</v>
      </c>
      <c r="B1151" s="93" t="s">
        <v>1095</v>
      </c>
      <c r="C1151" s="73" t="s">
        <v>1066</v>
      </c>
      <c r="D1151" s="153"/>
      <c r="E1151" s="154">
        <v>7700</v>
      </c>
      <c r="F1151" s="154">
        <v>7700</v>
      </c>
      <c r="G1151" s="168"/>
    </row>
    <row r="1152" spans="1:7" s="169" customFormat="1">
      <c r="A1152" s="31">
        <f t="shared" si="46"/>
        <v>27</v>
      </c>
      <c r="B1152" s="93" t="s">
        <v>1096</v>
      </c>
      <c r="C1152" s="73" t="s">
        <v>1066</v>
      </c>
      <c r="D1152" s="153"/>
      <c r="E1152" s="154">
        <v>11500</v>
      </c>
      <c r="F1152" s="154">
        <v>11500</v>
      </c>
      <c r="G1152" s="168"/>
    </row>
    <row r="1153" spans="1:7" s="169" customFormat="1">
      <c r="A1153" s="31">
        <f t="shared" si="46"/>
        <v>28</v>
      </c>
      <c r="B1153" s="93" t="s">
        <v>1097</v>
      </c>
      <c r="C1153" s="73" t="s">
        <v>1066</v>
      </c>
      <c r="D1153" s="153"/>
      <c r="E1153" s="154">
        <v>18700</v>
      </c>
      <c r="F1153" s="154">
        <v>18700</v>
      </c>
      <c r="G1153" s="168"/>
    </row>
    <row r="1154" spans="1:7" s="169" customFormat="1">
      <c r="A1154" s="31">
        <f t="shared" si="46"/>
        <v>29</v>
      </c>
      <c r="B1154" s="93" t="s">
        <v>1098</v>
      </c>
      <c r="C1154" s="73" t="s">
        <v>1066</v>
      </c>
      <c r="D1154" s="153"/>
      <c r="E1154" s="154">
        <v>28900</v>
      </c>
      <c r="F1154" s="154">
        <v>28900</v>
      </c>
      <c r="G1154" s="168"/>
    </row>
    <row r="1155" spans="1:7" s="169" customFormat="1">
      <c r="A1155" s="31">
        <f t="shared" si="46"/>
        <v>30</v>
      </c>
      <c r="B1155" s="93" t="s">
        <v>1099</v>
      </c>
      <c r="C1155" s="73" t="s">
        <v>1066</v>
      </c>
      <c r="D1155" s="153"/>
      <c r="E1155" s="154">
        <v>37000</v>
      </c>
      <c r="F1155" s="154">
        <v>37000</v>
      </c>
      <c r="G1155" s="168"/>
    </row>
    <row r="1156" spans="1:7" s="169" customFormat="1">
      <c r="A1156" s="31">
        <f t="shared" si="46"/>
        <v>31</v>
      </c>
      <c r="B1156" s="93" t="s">
        <v>1100</v>
      </c>
      <c r="C1156" s="73" t="s">
        <v>1066</v>
      </c>
      <c r="D1156" s="153"/>
      <c r="E1156" s="154">
        <v>58900</v>
      </c>
      <c r="F1156" s="154">
        <v>58900</v>
      </c>
      <c r="G1156" s="168"/>
    </row>
    <row r="1157" spans="1:7" s="169" customFormat="1">
      <c r="A1157" s="31">
        <f t="shared" si="46"/>
        <v>32</v>
      </c>
      <c r="B1157" s="93" t="s">
        <v>1101</v>
      </c>
      <c r="C1157" s="73" t="s">
        <v>1066</v>
      </c>
      <c r="D1157" s="153"/>
      <c r="E1157" s="154">
        <v>83400</v>
      </c>
      <c r="F1157" s="154">
        <v>83400</v>
      </c>
      <c r="G1157" s="168"/>
    </row>
    <row r="1158" spans="1:7" s="169" customFormat="1">
      <c r="A1158" s="31">
        <f t="shared" si="46"/>
        <v>33</v>
      </c>
      <c r="B1158" s="93" t="s">
        <v>1102</v>
      </c>
      <c r="C1158" s="73" t="s">
        <v>1066</v>
      </c>
      <c r="D1158" s="153"/>
      <c r="E1158" s="154">
        <v>98400</v>
      </c>
      <c r="F1158" s="154">
        <v>98400</v>
      </c>
      <c r="G1158" s="168"/>
    </row>
    <row r="1159" spans="1:7" s="169" customFormat="1">
      <c r="A1159" s="31">
        <f t="shared" si="46"/>
        <v>34</v>
      </c>
      <c r="B1159" s="93" t="s">
        <v>1103</v>
      </c>
      <c r="C1159" s="73" t="s">
        <v>1066</v>
      </c>
      <c r="D1159" s="153"/>
      <c r="E1159" s="154">
        <v>146400</v>
      </c>
      <c r="F1159" s="154">
        <v>146400</v>
      </c>
      <c r="G1159" s="168"/>
    </row>
    <row r="1160" spans="1:7" s="169" customFormat="1">
      <c r="A1160" s="31">
        <f t="shared" si="46"/>
        <v>35</v>
      </c>
      <c r="B1160" s="93" t="s">
        <v>1104</v>
      </c>
      <c r="C1160" s="73" t="s">
        <v>1066</v>
      </c>
      <c r="D1160" s="153"/>
      <c r="E1160" s="154">
        <v>186800</v>
      </c>
      <c r="F1160" s="154">
        <v>186800</v>
      </c>
      <c r="G1160" s="168"/>
    </row>
    <row r="1161" spans="1:7" s="169" customFormat="1">
      <c r="A1161" s="31">
        <f t="shared" si="46"/>
        <v>36</v>
      </c>
      <c r="B1161" s="93" t="s">
        <v>1105</v>
      </c>
      <c r="C1161" s="73" t="s">
        <v>1066</v>
      </c>
      <c r="D1161" s="153"/>
      <c r="E1161" s="154">
        <v>234500</v>
      </c>
      <c r="F1161" s="154">
        <v>234500</v>
      </c>
      <c r="G1161" s="168"/>
    </row>
    <row r="1162" spans="1:7" s="169" customFormat="1">
      <c r="A1162" s="31">
        <f t="shared" si="46"/>
        <v>37</v>
      </c>
      <c r="B1162" s="93" t="s">
        <v>1106</v>
      </c>
      <c r="C1162" s="73" t="s">
        <v>1066</v>
      </c>
      <c r="D1162" s="153"/>
      <c r="E1162" s="154">
        <v>306000</v>
      </c>
      <c r="F1162" s="154">
        <v>306000</v>
      </c>
      <c r="G1162" s="168"/>
    </row>
    <row r="1163" spans="1:7" s="169" customFormat="1">
      <c r="A1163" s="31">
        <f t="shared" si="46"/>
        <v>38</v>
      </c>
      <c r="B1163" s="93" t="s">
        <v>1107</v>
      </c>
      <c r="C1163" s="73" t="s">
        <v>1066</v>
      </c>
      <c r="D1163" s="153"/>
      <c r="E1163" s="154">
        <v>387100</v>
      </c>
      <c r="F1163" s="154">
        <v>387100</v>
      </c>
      <c r="G1163" s="168"/>
    </row>
    <row r="1164" spans="1:7" s="169" customFormat="1">
      <c r="A1164" s="32">
        <f t="shared" si="46"/>
        <v>39</v>
      </c>
      <c r="B1164" s="94" t="s">
        <v>1108</v>
      </c>
      <c r="C1164" s="74" t="s">
        <v>1066</v>
      </c>
      <c r="D1164" s="155"/>
      <c r="E1164" s="156">
        <v>477600</v>
      </c>
      <c r="F1164" s="156">
        <v>477600</v>
      </c>
      <c r="G1164" s="168"/>
    </row>
    <row r="1165" spans="1:7" s="169" customFormat="1" ht="15" customHeight="1">
      <c r="A1165" s="34"/>
      <c r="B1165" s="213" t="s">
        <v>1109</v>
      </c>
      <c r="C1165" s="213"/>
      <c r="D1165" s="213"/>
      <c r="E1165" s="213"/>
      <c r="F1165" s="213"/>
      <c r="G1165" s="168"/>
    </row>
    <row r="1166" spans="1:7" s="169" customFormat="1">
      <c r="A1166" s="31"/>
      <c r="B1166" s="8" t="s">
        <v>1110</v>
      </c>
      <c r="C1166" s="12"/>
      <c r="D1166" s="126"/>
      <c r="E1166" s="126"/>
      <c r="F1166" s="126"/>
      <c r="G1166" s="168"/>
    </row>
    <row r="1167" spans="1:7" s="169" customFormat="1">
      <c r="A1167" s="31">
        <v>1</v>
      </c>
      <c r="B1167" s="93" t="s">
        <v>1065</v>
      </c>
      <c r="C1167" s="73" t="s">
        <v>1066</v>
      </c>
      <c r="D1167" s="157"/>
      <c r="E1167" s="154">
        <v>6150</v>
      </c>
      <c r="F1167" s="104">
        <f>E1167</f>
        <v>6150</v>
      </c>
      <c r="G1167" s="168"/>
    </row>
    <row r="1168" spans="1:7" s="169" customFormat="1">
      <c r="A1168" s="31">
        <f t="shared" si="46"/>
        <v>2</v>
      </c>
      <c r="B1168" s="93" t="s">
        <v>1068</v>
      </c>
      <c r="C1168" s="73" t="s">
        <v>1066</v>
      </c>
      <c r="D1168" s="157"/>
      <c r="E1168" s="154">
        <v>8750</v>
      </c>
      <c r="F1168" s="104">
        <f t="shared" ref="F1168:F1179" si="47">E1168</f>
        <v>8750</v>
      </c>
      <c r="G1168" s="168"/>
    </row>
    <row r="1169" spans="1:7" s="169" customFormat="1">
      <c r="A1169" s="31">
        <f t="shared" si="46"/>
        <v>3</v>
      </c>
      <c r="B1169" s="93" t="s">
        <v>1111</v>
      </c>
      <c r="C1169" s="73" t="s">
        <v>1066</v>
      </c>
      <c r="D1169" s="157"/>
      <c r="E1169" s="154">
        <v>12200</v>
      </c>
      <c r="F1169" s="104">
        <f t="shared" si="47"/>
        <v>12200</v>
      </c>
      <c r="G1169" s="168"/>
    </row>
    <row r="1170" spans="1:7" s="169" customFormat="1">
      <c r="A1170" s="31">
        <f>+A1169+1</f>
        <v>4</v>
      </c>
      <c r="B1170" s="93" t="s">
        <v>1070</v>
      </c>
      <c r="C1170" s="73" t="s">
        <v>1066</v>
      </c>
      <c r="D1170" s="157"/>
      <c r="E1170" s="154">
        <v>16300</v>
      </c>
      <c r="F1170" s="104">
        <f t="shared" si="47"/>
        <v>16300</v>
      </c>
      <c r="G1170" s="168"/>
    </row>
    <row r="1171" spans="1:7" s="169" customFormat="1">
      <c r="A1171" s="31">
        <f t="shared" si="46"/>
        <v>5</v>
      </c>
      <c r="B1171" s="93" t="s">
        <v>1072</v>
      </c>
      <c r="C1171" s="73" t="s">
        <v>1066</v>
      </c>
      <c r="D1171" s="157"/>
      <c r="E1171" s="154">
        <v>21300</v>
      </c>
      <c r="F1171" s="104">
        <f t="shared" si="47"/>
        <v>21300</v>
      </c>
      <c r="G1171" s="168"/>
    </row>
    <row r="1172" spans="1:7" s="169" customFormat="1">
      <c r="A1172" s="31">
        <f t="shared" si="46"/>
        <v>6</v>
      </c>
      <c r="B1172" s="93" t="s">
        <v>1112</v>
      </c>
      <c r="C1172" s="73" t="s">
        <v>1066</v>
      </c>
      <c r="D1172" s="157"/>
      <c r="E1172" s="154">
        <v>22500</v>
      </c>
      <c r="F1172" s="104">
        <f t="shared" si="47"/>
        <v>22500</v>
      </c>
      <c r="G1172" s="168"/>
    </row>
    <row r="1173" spans="1:7" s="169" customFormat="1">
      <c r="A1173" s="31">
        <f>+A1172+1</f>
        <v>7</v>
      </c>
      <c r="B1173" s="93" t="s">
        <v>1113</v>
      </c>
      <c r="C1173" s="73" t="s">
        <v>1066</v>
      </c>
      <c r="D1173" s="157"/>
      <c r="E1173" s="154">
        <v>48600</v>
      </c>
      <c r="F1173" s="104">
        <f t="shared" si="47"/>
        <v>48600</v>
      </c>
      <c r="G1173" s="168"/>
    </row>
    <row r="1174" spans="1:7" s="169" customFormat="1">
      <c r="A1174" s="31">
        <f t="shared" ref="A1174:A1179" si="48">+A1173+1</f>
        <v>8</v>
      </c>
      <c r="B1174" s="93" t="s">
        <v>1077</v>
      </c>
      <c r="C1174" s="73" t="s">
        <v>1066</v>
      </c>
      <c r="D1174" s="157"/>
      <c r="E1174" s="154">
        <v>68400</v>
      </c>
      <c r="F1174" s="104">
        <f t="shared" si="47"/>
        <v>68400</v>
      </c>
      <c r="G1174" s="168"/>
    </row>
    <row r="1175" spans="1:7" s="169" customFormat="1">
      <c r="A1175" s="31">
        <f t="shared" si="48"/>
        <v>9</v>
      </c>
      <c r="B1175" s="93" t="s">
        <v>1114</v>
      </c>
      <c r="C1175" s="73" t="s">
        <v>1066</v>
      </c>
      <c r="D1175" s="157"/>
      <c r="E1175" s="154">
        <v>103100</v>
      </c>
      <c r="F1175" s="104">
        <f t="shared" si="47"/>
        <v>103100</v>
      </c>
      <c r="G1175" s="168"/>
    </row>
    <row r="1176" spans="1:7" s="169" customFormat="1">
      <c r="A1176" s="31">
        <f t="shared" si="48"/>
        <v>10</v>
      </c>
      <c r="B1176" s="93" t="s">
        <v>1115</v>
      </c>
      <c r="C1176" s="73" t="s">
        <v>1066</v>
      </c>
      <c r="D1176" s="157"/>
      <c r="E1176" s="154">
        <v>134900</v>
      </c>
      <c r="F1176" s="104">
        <f t="shared" si="47"/>
        <v>134900</v>
      </c>
      <c r="G1176" s="168"/>
    </row>
    <row r="1177" spans="1:7" s="169" customFormat="1">
      <c r="A1177" s="31">
        <f t="shared" si="48"/>
        <v>11</v>
      </c>
      <c r="B1177" s="93" t="s">
        <v>1116</v>
      </c>
      <c r="C1177" s="73" t="s">
        <v>1066</v>
      </c>
      <c r="D1177" s="157"/>
      <c r="E1177" s="154">
        <v>225600</v>
      </c>
      <c r="F1177" s="104">
        <f t="shared" si="47"/>
        <v>225600</v>
      </c>
      <c r="G1177" s="168"/>
    </row>
    <row r="1178" spans="1:7" s="169" customFormat="1">
      <c r="A1178" s="31">
        <f t="shared" si="48"/>
        <v>12</v>
      </c>
      <c r="B1178" s="93" t="s">
        <v>1117</v>
      </c>
      <c r="C1178" s="73" t="s">
        <v>1066</v>
      </c>
      <c r="D1178" s="157"/>
      <c r="E1178" s="154">
        <v>208900</v>
      </c>
      <c r="F1178" s="104">
        <f t="shared" si="47"/>
        <v>208900</v>
      </c>
      <c r="G1178" s="168"/>
    </row>
    <row r="1179" spans="1:7" s="169" customFormat="1">
      <c r="A1179" s="31">
        <f t="shared" si="48"/>
        <v>13</v>
      </c>
      <c r="B1179" s="93" t="s">
        <v>1118</v>
      </c>
      <c r="C1179" s="73" t="s">
        <v>1066</v>
      </c>
      <c r="D1179" s="157"/>
      <c r="E1179" s="154">
        <v>350500</v>
      </c>
      <c r="F1179" s="104">
        <f t="shared" si="47"/>
        <v>350500</v>
      </c>
      <c r="G1179" s="168"/>
    </row>
    <row r="1180" spans="1:7" s="169" customFormat="1">
      <c r="A1180" s="31"/>
      <c r="B1180" s="8" t="s">
        <v>1119</v>
      </c>
      <c r="C1180" s="12"/>
      <c r="D1180" s="126"/>
      <c r="E1180" s="104"/>
      <c r="F1180" s="104"/>
      <c r="G1180" s="168"/>
    </row>
    <row r="1181" spans="1:7" s="169" customFormat="1">
      <c r="A1181" s="31">
        <f>+A1179+1</f>
        <v>14</v>
      </c>
      <c r="B1181" s="6" t="s">
        <v>1120</v>
      </c>
      <c r="C1181" s="31" t="s">
        <v>135</v>
      </c>
      <c r="D1181" s="157"/>
      <c r="E1181" s="154">
        <v>1500</v>
      </c>
      <c r="F1181" s="104">
        <f>E1181</f>
        <v>1500</v>
      </c>
      <c r="G1181" s="168"/>
    </row>
    <row r="1182" spans="1:7" s="169" customFormat="1">
      <c r="A1182" s="31">
        <f t="shared" si="46"/>
        <v>15</v>
      </c>
      <c r="B1182" s="6" t="s">
        <v>1121</v>
      </c>
      <c r="C1182" s="31" t="s">
        <v>135</v>
      </c>
      <c r="D1182" s="157"/>
      <c r="E1182" s="154">
        <v>2000</v>
      </c>
      <c r="F1182" s="104">
        <f t="shared" ref="F1182:F1202" si="49">E1182</f>
        <v>2000</v>
      </c>
      <c r="G1182" s="168"/>
    </row>
    <row r="1183" spans="1:7" s="169" customFormat="1">
      <c r="A1183" s="31">
        <f t="shared" si="46"/>
        <v>16</v>
      </c>
      <c r="B1183" s="6" t="s">
        <v>1122</v>
      </c>
      <c r="C1183" s="31" t="s">
        <v>135</v>
      </c>
      <c r="D1183" s="157"/>
      <c r="E1183" s="154">
        <v>3100</v>
      </c>
      <c r="F1183" s="104">
        <f t="shared" si="49"/>
        <v>3100</v>
      </c>
      <c r="G1183" s="168"/>
    </row>
    <row r="1184" spans="1:7" s="169" customFormat="1">
      <c r="A1184" s="31">
        <f t="shared" si="46"/>
        <v>17</v>
      </c>
      <c r="B1184" s="6" t="s">
        <v>1123</v>
      </c>
      <c r="C1184" s="31" t="s">
        <v>135</v>
      </c>
      <c r="D1184" s="157"/>
      <c r="E1184" s="154">
        <v>4500</v>
      </c>
      <c r="F1184" s="104">
        <f t="shared" si="49"/>
        <v>4500</v>
      </c>
      <c r="G1184" s="168"/>
    </row>
    <row r="1185" spans="1:7" s="169" customFormat="1">
      <c r="A1185" s="31">
        <f t="shared" si="46"/>
        <v>18</v>
      </c>
      <c r="B1185" s="6" t="s">
        <v>1124</v>
      </c>
      <c r="C1185" s="31" t="s">
        <v>135</v>
      </c>
      <c r="D1185" s="157"/>
      <c r="E1185" s="154">
        <v>10800</v>
      </c>
      <c r="F1185" s="104">
        <f t="shared" si="49"/>
        <v>10800</v>
      </c>
      <c r="G1185" s="168"/>
    </row>
    <row r="1186" spans="1:7" s="169" customFormat="1">
      <c r="A1186" s="31">
        <f t="shared" si="46"/>
        <v>19</v>
      </c>
      <c r="B1186" s="6" t="s">
        <v>1125</v>
      </c>
      <c r="C1186" s="31" t="s">
        <v>135</v>
      </c>
      <c r="D1186" s="157"/>
      <c r="E1186" s="154">
        <v>23000</v>
      </c>
      <c r="F1186" s="104">
        <f t="shared" si="49"/>
        <v>23000</v>
      </c>
      <c r="G1186" s="168"/>
    </row>
    <row r="1187" spans="1:7" s="169" customFormat="1">
      <c r="A1187" s="31">
        <f t="shared" si="46"/>
        <v>20</v>
      </c>
      <c r="B1187" s="6" t="s">
        <v>1126</v>
      </c>
      <c r="C1187" s="31" t="s">
        <v>135</v>
      </c>
      <c r="D1187" s="157"/>
      <c r="E1187" s="154">
        <v>15364</v>
      </c>
      <c r="F1187" s="104">
        <f t="shared" si="49"/>
        <v>15364</v>
      </c>
      <c r="G1187" s="168"/>
    </row>
    <row r="1188" spans="1:7" s="169" customFormat="1" ht="17.25">
      <c r="A1188" s="31">
        <f t="shared" si="46"/>
        <v>21</v>
      </c>
      <c r="B1188" s="6" t="s">
        <v>1127</v>
      </c>
      <c r="C1188" s="31" t="s">
        <v>135</v>
      </c>
      <c r="D1188" s="157"/>
      <c r="E1188" s="154">
        <v>1900</v>
      </c>
      <c r="F1188" s="104">
        <f t="shared" si="49"/>
        <v>1900</v>
      </c>
      <c r="G1188" s="168"/>
    </row>
    <row r="1189" spans="1:7" s="169" customFormat="1" ht="17.25">
      <c r="A1189" s="31">
        <f t="shared" si="46"/>
        <v>22</v>
      </c>
      <c r="B1189" s="6" t="s">
        <v>1128</v>
      </c>
      <c r="C1189" s="31" t="s">
        <v>135</v>
      </c>
      <c r="D1189" s="157"/>
      <c r="E1189" s="154">
        <v>2500</v>
      </c>
      <c r="F1189" s="104">
        <f t="shared" si="49"/>
        <v>2500</v>
      </c>
      <c r="G1189" s="168"/>
    </row>
    <row r="1190" spans="1:7" s="169" customFormat="1" ht="17.25">
      <c r="A1190" s="31">
        <f t="shared" si="46"/>
        <v>23</v>
      </c>
      <c r="B1190" s="6" t="s">
        <v>1129</v>
      </c>
      <c r="C1190" s="31" t="s">
        <v>135</v>
      </c>
      <c r="D1190" s="157"/>
      <c r="E1190" s="154">
        <v>4000</v>
      </c>
      <c r="F1190" s="104">
        <f t="shared" si="49"/>
        <v>4000</v>
      </c>
      <c r="G1190" s="168"/>
    </row>
    <row r="1191" spans="1:7" s="169" customFormat="1" ht="17.25">
      <c r="A1191" s="31">
        <f t="shared" si="46"/>
        <v>24</v>
      </c>
      <c r="B1191" s="6" t="s">
        <v>1130</v>
      </c>
      <c r="C1191" s="31" t="s">
        <v>135</v>
      </c>
      <c r="D1191" s="157"/>
      <c r="E1191" s="154">
        <v>6400</v>
      </c>
      <c r="F1191" s="104">
        <f t="shared" si="49"/>
        <v>6400</v>
      </c>
      <c r="G1191" s="168"/>
    </row>
    <row r="1192" spans="1:7" s="169" customFormat="1" ht="17.25">
      <c r="A1192" s="31">
        <f t="shared" si="46"/>
        <v>25</v>
      </c>
      <c r="B1192" s="6" t="s">
        <v>1131</v>
      </c>
      <c r="C1192" s="31" t="s">
        <v>135</v>
      </c>
      <c r="D1192" s="157"/>
      <c r="E1192" s="154">
        <v>10091</v>
      </c>
      <c r="F1192" s="104">
        <f t="shared" si="49"/>
        <v>10091</v>
      </c>
      <c r="G1192" s="168"/>
    </row>
    <row r="1193" spans="1:7" s="169" customFormat="1" ht="17.25">
      <c r="A1193" s="31">
        <f t="shared" si="46"/>
        <v>26</v>
      </c>
      <c r="B1193" s="6" t="s">
        <v>1132</v>
      </c>
      <c r="C1193" s="31" t="s">
        <v>135</v>
      </c>
      <c r="D1193" s="157"/>
      <c r="E1193" s="154">
        <v>14800</v>
      </c>
      <c r="F1193" s="104">
        <f t="shared" si="49"/>
        <v>14800</v>
      </c>
      <c r="G1193" s="168"/>
    </row>
    <row r="1194" spans="1:7" s="169" customFormat="1" ht="17.25">
      <c r="A1194" s="31">
        <f t="shared" si="46"/>
        <v>27</v>
      </c>
      <c r="B1194" s="6" t="s">
        <v>1133</v>
      </c>
      <c r="C1194" s="31" t="s">
        <v>135</v>
      </c>
      <c r="D1194" s="157"/>
      <c r="E1194" s="154">
        <v>13455</v>
      </c>
      <c r="F1194" s="104">
        <f t="shared" si="49"/>
        <v>13455</v>
      </c>
      <c r="G1194" s="168"/>
    </row>
    <row r="1195" spans="1:7" s="169" customFormat="1" ht="17.25">
      <c r="A1195" s="31">
        <f t="shared" si="46"/>
        <v>28</v>
      </c>
      <c r="B1195" s="6" t="s">
        <v>1134</v>
      </c>
      <c r="C1195" s="31" t="s">
        <v>135</v>
      </c>
      <c r="D1195" s="157"/>
      <c r="E1195" s="154">
        <v>30000</v>
      </c>
      <c r="F1195" s="104">
        <f t="shared" si="49"/>
        <v>30000</v>
      </c>
      <c r="G1195" s="168"/>
    </row>
    <row r="1196" spans="1:7" s="169" customFormat="1" ht="17.25">
      <c r="A1196" s="31">
        <f t="shared" si="46"/>
        <v>29</v>
      </c>
      <c r="B1196" s="6" t="s">
        <v>1135</v>
      </c>
      <c r="C1196" s="31" t="s">
        <v>135</v>
      </c>
      <c r="D1196" s="157"/>
      <c r="E1196" s="154">
        <v>2500</v>
      </c>
      <c r="F1196" s="104">
        <f t="shared" si="49"/>
        <v>2500</v>
      </c>
      <c r="G1196" s="168"/>
    </row>
    <row r="1197" spans="1:7" s="169" customFormat="1" ht="17.25">
      <c r="A1197" s="31">
        <f t="shared" si="46"/>
        <v>30</v>
      </c>
      <c r="B1197" s="6" t="s">
        <v>1136</v>
      </c>
      <c r="C1197" s="31" t="s">
        <v>135</v>
      </c>
      <c r="D1197" s="157"/>
      <c r="E1197" s="154">
        <v>3800</v>
      </c>
      <c r="F1197" s="104">
        <f t="shared" si="49"/>
        <v>3800</v>
      </c>
      <c r="G1197" s="168"/>
    </row>
    <row r="1198" spans="1:7" s="169" customFormat="1" ht="17.25">
      <c r="A1198" s="31">
        <f t="shared" si="46"/>
        <v>31</v>
      </c>
      <c r="B1198" s="6" t="s">
        <v>1137</v>
      </c>
      <c r="C1198" s="31" t="s">
        <v>135</v>
      </c>
      <c r="D1198" s="157"/>
      <c r="E1198" s="154">
        <v>5300</v>
      </c>
      <c r="F1198" s="104">
        <f t="shared" si="49"/>
        <v>5300</v>
      </c>
      <c r="G1198" s="168"/>
    </row>
    <row r="1199" spans="1:7" s="169" customFormat="1" ht="17.25">
      <c r="A1199" s="31">
        <f t="shared" si="46"/>
        <v>32</v>
      </c>
      <c r="B1199" s="6" t="s">
        <v>1138</v>
      </c>
      <c r="C1199" s="31" t="s">
        <v>135</v>
      </c>
      <c r="D1199" s="157"/>
      <c r="E1199" s="154">
        <v>8500</v>
      </c>
      <c r="F1199" s="104">
        <f t="shared" si="49"/>
        <v>8500</v>
      </c>
      <c r="G1199" s="168"/>
    </row>
    <row r="1200" spans="1:7" s="169" customFormat="1" ht="17.25">
      <c r="A1200" s="31">
        <f t="shared" si="46"/>
        <v>33</v>
      </c>
      <c r="B1200" s="6" t="s">
        <v>1139</v>
      </c>
      <c r="C1200" s="31" t="s">
        <v>135</v>
      </c>
      <c r="D1200" s="157"/>
      <c r="E1200" s="154">
        <v>13727</v>
      </c>
      <c r="F1200" s="104">
        <f t="shared" si="49"/>
        <v>13727</v>
      </c>
      <c r="G1200" s="168"/>
    </row>
    <row r="1201" spans="1:7" s="169" customFormat="1" ht="17.25">
      <c r="A1201" s="31">
        <f t="shared" si="46"/>
        <v>34</v>
      </c>
      <c r="B1201" s="6" t="s">
        <v>1140</v>
      </c>
      <c r="C1201" s="31" t="s">
        <v>135</v>
      </c>
      <c r="D1201" s="157"/>
      <c r="E1201" s="154">
        <v>21000</v>
      </c>
      <c r="F1201" s="104">
        <f t="shared" si="49"/>
        <v>21000</v>
      </c>
      <c r="G1201" s="168"/>
    </row>
    <row r="1202" spans="1:7" s="169" customFormat="1" ht="17.25">
      <c r="A1202" s="10">
        <f t="shared" si="46"/>
        <v>35</v>
      </c>
      <c r="B1202" s="6" t="s">
        <v>1141</v>
      </c>
      <c r="C1202" s="10" t="s">
        <v>135</v>
      </c>
      <c r="D1202" s="105"/>
      <c r="E1202" s="105">
        <v>53000</v>
      </c>
      <c r="F1202" s="105">
        <f t="shared" si="49"/>
        <v>53000</v>
      </c>
      <c r="G1202" s="168"/>
    </row>
    <row r="1203" spans="1:7" s="169" customFormat="1">
      <c r="A1203" s="10"/>
      <c r="B1203" s="8" t="s">
        <v>1142</v>
      </c>
      <c r="C1203" s="10"/>
      <c r="D1203" s="105"/>
      <c r="E1203" s="105"/>
      <c r="F1203" s="105"/>
      <c r="G1203" s="168"/>
    </row>
    <row r="1204" spans="1:7" s="169" customFormat="1">
      <c r="A1204" s="10">
        <f>+A1202+1</f>
        <v>36</v>
      </c>
      <c r="B1204" s="93" t="s">
        <v>1143</v>
      </c>
      <c r="C1204" s="10" t="s">
        <v>142</v>
      </c>
      <c r="D1204" s="105"/>
      <c r="E1204" s="154">
        <v>13182</v>
      </c>
      <c r="F1204" s="154">
        <f>E1204</f>
        <v>13182</v>
      </c>
      <c r="G1204" s="168"/>
    </row>
    <row r="1205" spans="1:7" s="169" customFormat="1">
      <c r="A1205" s="31">
        <f>+A1204+1</f>
        <v>37</v>
      </c>
      <c r="B1205" s="93" t="s">
        <v>1144</v>
      </c>
      <c r="C1205" s="31" t="s">
        <v>142</v>
      </c>
      <c r="D1205" s="157"/>
      <c r="E1205" s="154">
        <v>20091</v>
      </c>
      <c r="F1205" s="154">
        <f t="shared" ref="F1205:F1215" si="50">E1205</f>
        <v>20091</v>
      </c>
      <c r="G1205" s="168"/>
    </row>
    <row r="1206" spans="1:7" s="169" customFormat="1">
      <c r="A1206" s="31">
        <f t="shared" ref="A1206:A1215" si="51">+A1205+1</f>
        <v>38</v>
      </c>
      <c r="B1206" s="93" t="s">
        <v>1145</v>
      </c>
      <c r="C1206" s="31" t="s">
        <v>142</v>
      </c>
      <c r="D1206" s="157"/>
      <c r="E1206" s="154">
        <v>30818</v>
      </c>
      <c r="F1206" s="154">
        <f t="shared" si="50"/>
        <v>30818</v>
      </c>
      <c r="G1206" s="168"/>
    </row>
    <row r="1207" spans="1:7" s="169" customFormat="1">
      <c r="A1207" s="31">
        <f t="shared" si="51"/>
        <v>39</v>
      </c>
      <c r="B1207" s="93" t="s">
        <v>1146</v>
      </c>
      <c r="C1207" s="31" t="s">
        <v>142</v>
      </c>
      <c r="D1207" s="157"/>
      <c r="E1207" s="154">
        <v>70273</v>
      </c>
      <c r="F1207" s="154">
        <f t="shared" si="50"/>
        <v>70273</v>
      </c>
      <c r="G1207" s="168"/>
    </row>
    <row r="1208" spans="1:7" s="169" customFormat="1">
      <c r="A1208" s="31">
        <f t="shared" si="51"/>
        <v>40</v>
      </c>
      <c r="B1208" s="93" t="s">
        <v>1147</v>
      </c>
      <c r="C1208" s="31" t="s">
        <v>142</v>
      </c>
      <c r="D1208" s="157"/>
      <c r="E1208" s="154">
        <v>99727</v>
      </c>
      <c r="F1208" s="154">
        <f t="shared" si="50"/>
        <v>99727</v>
      </c>
      <c r="G1208" s="168"/>
    </row>
    <row r="1209" spans="1:7" s="169" customFormat="1">
      <c r="A1209" s="31">
        <f t="shared" si="51"/>
        <v>41</v>
      </c>
      <c r="B1209" s="93" t="s">
        <v>1148</v>
      </c>
      <c r="C1209" s="31" t="s">
        <v>142</v>
      </c>
      <c r="D1209" s="157"/>
      <c r="E1209" s="154">
        <v>97273</v>
      </c>
      <c r="F1209" s="154">
        <f t="shared" si="50"/>
        <v>97273</v>
      </c>
      <c r="G1209" s="168"/>
    </row>
    <row r="1210" spans="1:7" s="169" customFormat="1">
      <c r="A1210" s="31">
        <f t="shared" si="51"/>
        <v>42</v>
      </c>
      <c r="B1210" s="93" t="s">
        <v>1149</v>
      </c>
      <c r="C1210" s="31" t="s">
        <v>142</v>
      </c>
      <c r="D1210" s="157"/>
      <c r="E1210" s="154">
        <v>206909</v>
      </c>
      <c r="F1210" s="154">
        <f t="shared" si="50"/>
        <v>206909</v>
      </c>
      <c r="G1210" s="168"/>
    </row>
    <row r="1211" spans="1:7" s="169" customFormat="1">
      <c r="A1211" s="31">
        <f t="shared" si="51"/>
        <v>43</v>
      </c>
      <c r="B1211" s="93" t="s">
        <v>1150</v>
      </c>
      <c r="C1211" s="31" t="s">
        <v>142</v>
      </c>
      <c r="D1211" s="157"/>
      <c r="E1211" s="154">
        <v>321091</v>
      </c>
      <c r="F1211" s="154">
        <f t="shared" si="50"/>
        <v>321091</v>
      </c>
      <c r="G1211" s="168"/>
    </row>
    <row r="1212" spans="1:7" s="169" customFormat="1">
      <c r="A1212" s="31">
        <f t="shared" si="51"/>
        <v>44</v>
      </c>
      <c r="B1212" s="93" t="s">
        <v>1151</v>
      </c>
      <c r="C1212" s="31" t="s">
        <v>142</v>
      </c>
      <c r="D1212" s="157"/>
      <c r="E1212" s="154">
        <v>499000</v>
      </c>
      <c r="F1212" s="154">
        <f t="shared" si="50"/>
        <v>499000</v>
      </c>
      <c r="G1212" s="168"/>
    </row>
    <row r="1213" spans="1:7" s="169" customFormat="1">
      <c r="A1213" s="31">
        <f t="shared" si="51"/>
        <v>45</v>
      </c>
      <c r="B1213" s="93" t="s">
        <v>1152</v>
      </c>
      <c r="C1213" s="31" t="s">
        <v>142</v>
      </c>
      <c r="D1213" s="157"/>
      <c r="E1213" s="154">
        <v>1264455</v>
      </c>
      <c r="F1213" s="154">
        <f>E1213</f>
        <v>1264455</v>
      </c>
      <c r="G1213" s="168"/>
    </row>
    <row r="1214" spans="1:7" s="169" customFormat="1">
      <c r="A1214" s="31">
        <f t="shared" si="51"/>
        <v>46</v>
      </c>
      <c r="B1214" s="93" t="s">
        <v>1153</v>
      </c>
      <c r="C1214" s="31" t="s">
        <v>142</v>
      </c>
      <c r="D1214" s="195"/>
      <c r="E1214" s="154">
        <v>1615909</v>
      </c>
      <c r="F1214" s="154">
        <f>E1214</f>
        <v>1615909</v>
      </c>
      <c r="G1214" s="168"/>
    </row>
    <row r="1215" spans="1:7" s="169" customFormat="1">
      <c r="A1215" s="39">
        <f t="shared" si="51"/>
        <v>47</v>
      </c>
      <c r="B1215" s="93" t="s">
        <v>1154</v>
      </c>
      <c r="C1215" s="39" t="s">
        <v>142</v>
      </c>
      <c r="D1215" s="158"/>
      <c r="E1215" s="159">
        <v>1967909</v>
      </c>
      <c r="F1215" s="159">
        <f t="shared" si="50"/>
        <v>1967909</v>
      </c>
      <c r="G1215" s="168"/>
    </row>
    <row r="1216" spans="1:7" s="169" customFormat="1" ht="26.45" customHeight="1">
      <c r="A1216" s="47"/>
      <c r="B1216" s="213" t="s">
        <v>1155</v>
      </c>
      <c r="C1216" s="213"/>
      <c r="D1216" s="213"/>
      <c r="E1216" s="213"/>
      <c r="F1216" s="213"/>
      <c r="G1216" s="168"/>
    </row>
    <row r="1217" spans="1:7" s="169" customFormat="1">
      <c r="A1217" s="31"/>
      <c r="B1217" s="8" t="s">
        <v>1156</v>
      </c>
      <c r="C1217" s="44"/>
      <c r="D1217" s="157"/>
      <c r="E1217" s="157"/>
      <c r="F1217" s="157"/>
      <c r="G1217" s="168"/>
    </row>
    <row r="1218" spans="1:7" s="169" customFormat="1">
      <c r="A1218" s="31">
        <v>1</v>
      </c>
      <c r="B1218" s="93" t="s">
        <v>1157</v>
      </c>
      <c r="C1218" s="73" t="s">
        <v>1066</v>
      </c>
      <c r="D1218" s="157"/>
      <c r="E1218" s="154">
        <f>5000/1.1</f>
        <v>4545.454545454545</v>
      </c>
      <c r="F1218" s="154"/>
      <c r="G1218" s="168"/>
    </row>
    <row r="1219" spans="1:7" s="169" customFormat="1">
      <c r="A1219" s="31">
        <f>+A1218+1</f>
        <v>2</v>
      </c>
      <c r="B1219" s="93" t="s">
        <v>1158</v>
      </c>
      <c r="C1219" s="73" t="s">
        <v>1066</v>
      </c>
      <c r="D1219" s="157"/>
      <c r="E1219" s="154">
        <f>5900/1.1</f>
        <v>5363.6363636363631</v>
      </c>
      <c r="F1219" s="154"/>
      <c r="G1219" s="168"/>
    </row>
    <row r="1220" spans="1:7" s="169" customFormat="1">
      <c r="A1220" s="31">
        <f t="shared" ref="A1220:A1283" si="52">+A1219+1</f>
        <v>3</v>
      </c>
      <c r="B1220" s="93" t="s">
        <v>1159</v>
      </c>
      <c r="C1220" s="73" t="s">
        <v>1066</v>
      </c>
      <c r="D1220" s="157"/>
      <c r="E1220" s="154">
        <f>7050/1.1</f>
        <v>6409.090909090909</v>
      </c>
      <c r="F1220" s="154"/>
      <c r="G1220" s="168"/>
    </row>
    <row r="1221" spans="1:7" s="169" customFormat="1">
      <c r="A1221" s="31">
        <f>+A1218+1</f>
        <v>2</v>
      </c>
      <c r="B1221" s="93" t="s">
        <v>1160</v>
      </c>
      <c r="C1221" s="73" t="s">
        <v>1066</v>
      </c>
      <c r="D1221" s="157"/>
      <c r="E1221" s="154">
        <f>8500/1.1</f>
        <v>7727.272727272727</v>
      </c>
      <c r="F1221" s="154"/>
      <c r="G1221" s="168"/>
    </row>
    <row r="1222" spans="1:7" s="169" customFormat="1">
      <c r="A1222" s="31">
        <f t="shared" ref="A1222:A1242" si="53">+A1219+1</f>
        <v>3</v>
      </c>
      <c r="B1222" s="93" t="s">
        <v>1161</v>
      </c>
      <c r="C1222" s="73" t="s">
        <v>1066</v>
      </c>
      <c r="D1222" s="157"/>
      <c r="E1222" s="154">
        <f>9600/1.1</f>
        <v>8727.2727272727261</v>
      </c>
      <c r="F1222" s="154"/>
      <c r="G1222" s="168"/>
    </row>
    <row r="1223" spans="1:7" s="169" customFormat="1">
      <c r="A1223" s="31">
        <f t="shared" si="53"/>
        <v>4</v>
      </c>
      <c r="B1223" s="93" t="s">
        <v>1162</v>
      </c>
      <c r="C1223" s="73" t="s">
        <v>1066</v>
      </c>
      <c r="D1223" s="157"/>
      <c r="E1223" s="154">
        <f>11000/1.1</f>
        <v>10000</v>
      </c>
      <c r="F1223" s="154"/>
      <c r="G1223" s="168"/>
    </row>
    <row r="1224" spans="1:7" s="169" customFormat="1">
      <c r="A1224" s="31">
        <f t="shared" si="53"/>
        <v>3</v>
      </c>
      <c r="B1224" s="93" t="s">
        <v>1069</v>
      </c>
      <c r="C1224" s="73" t="s">
        <v>1066</v>
      </c>
      <c r="D1224" s="123"/>
      <c r="E1224" s="154">
        <f>12300/1.1</f>
        <v>11181.81818181818</v>
      </c>
      <c r="F1224" s="154"/>
      <c r="G1224" s="168"/>
    </row>
    <row r="1225" spans="1:7" s="169" customFormat="1">
      <c r="A1225" s="31">
        <f t="shared" si="53"/>
        <v>4</v>
      </c>
      <c r="B1225" s="93" t="s">
        <v>1163</v>
      </c>
      <c r="C1225" s="73" t="s">
        <v>1066</v>
      </c>
      <c r="D1225" s="123"/>
      <c r="E1225" s="154">
        <f>11850/1.1</f>
        <v>10772.727272727272</v>
      </c>
      <c r="F1225" s="154"/>
      <c r="G1225" s="168"/>
    </row>
    <row r="1226" spans="1:7" s="169" customFormat="1">
      <c r="A1226" s="31">
        <f t="shared" si="53"/>
        <v>5</v>
      </c>
      <c r="B1226" s="93" t="s">
        <v>1164</v>
      </c>
      <c r="C1226" s="73" t="s">
        <v>1066</v>
      </c>
      <c r="D1226" s="123"/>
      <c r="E1226" s="154">
        <f>13800/1.1</f>
        <v>12545.454545454544</v>
      </c>
      <c r="F1226" s="154"/>
      <c r="G1226" s="168"/>
    </row>
    <row r="1227" spans="1:7" s="169" customFormat="1">
      <c r="A1227" s="31">
        <f t="shared" si="53"/>
        <v>4</v>
      </c>
      <c r="B1227" s="93" t="s">
        <v>1165</v>
      </c>
      <c r="C1227" s="73" t="s">
        <v>1066</v>
      </c>
      <c r="D1227" s="157"/>
      <c r="E1227" s="154">
        <f>17100/1.1</f>
        <v>15545.454545454544</v>
      </c>
      <c r="F1227" s="154"/>
      <c r="G1227" s="168"/>
    </row>
    <row r="1228" spans="1:7" s="169" customFormat="1">
      <c r="A1228" s="31">
        <f t="shared" si="53"/>
        <v>5</v>
      </c>
      <c r="B1228" s="93" t="s">
        <v>1166</v>
      </c>
      <c r="C1228" s="73" t="s">
        <v>1066</v>
      </c>
      <c r="D1228" s="123"/>
      <c r="E1228" s="154">
        <f>17800/1.1</f>
        <v>16181.81818181818</v>
      </c>
      <c r="F1228" s="154"/>
      <c r="G1228" s="168"/>
    </row>
    <row r="1229" spans="1:7" s="169" customFormat="1">
      <c r="A1229" s="31">
        <f t="shared" si="53"/>
        <v>6</v>
      </c>
      <c r="B1229" s="93" t="s">
        <v>1167</v>
      </c>
      <c r="C1229" s="73" t="s">
        <v>1066</v>
      </c>
      <c r="D1229" s="157"/>
      <c r="E1229" s="154">
        <f>19600/1.1</f>
        <v>17818.181818181816</v>
      </c>
      <c r="F1229" s="154"/>
      <c r="G1229" s="168"/>
    </row>
    <row r="1230" spans="1:7" s="169" customFormat="1">
      <c r="A1230" s="31">
        <f t="shared" si="53"/>
        <v>5</v>
      </c>
      <c r="B1230" s="93" t="s">
        <v>1168</v>
      </c>
      <c r="C1230" s="73" t="s">
        <v>1066</v>
      </c>
      <c r="D1230" s="157"/>
      <c r="E1230" s="154">
        <f>22000/1.1</f>
        <v>20000</v>
      </c>
      <c r="F1230" s="154"/>
      <c r="G1230" s="168"/>
    </row>
    <row r="1231" spans="1:7" s="169" customFormat="1">
      <c r="A1231" s="31">
        <f t="shared" si="53"/>
        <v>6</v>
      </c>
      <c r="B1231" s="93" t="s">
        <v>1169</v>
      </c>
      <c r="C1231" s="73" t="s">
        <v>1066</v>
      </c>
      <c r="D1231" s="157"/>
      <c r="E1231" s="154">
        <f>18700/1.1</f>
        <v>17000</v>
      </c>
      <c r="F1231" s="154"/>
      <c r="G1231" s="168"/>
    </row>
    <row r="1232" spans="1:7" s="169" customFormat="1">
      <c r="A1232" s="31">
        <f t="shared" si="53"/>
        <v>7</v>
      </c>
      <c r="B1232" s="93" t="s">
        <v>1170</v>
      </c>
      <c r="C1232" s="73" t="s">
        <v>1066</v>
      </c>
      <c r="D1232" s="157"/>
      <c r="E1232" s="154">
        <f>19900/1.1</f>
        <v>18090.909090909088</v>
      </c>
      <c r="F1232" s="154"/>
      <c r="G1232" s="168"/>
    </row>
    <row r="1233" spans="1:7" s="169" customFormat="1">
      <c r="A1233" s="31">
        <f t="shared" si="53"/>
        <v>6</v>
      </c>
      <c r="B1233" s="93" t="s">
        <v>1171</v>
      </c>
      <c r="C1233" s="73" t="s">
        <v>1066</v>
      </c>
      <c r="D1233" s="157"/>
      <c r="E1233" s="154">
        <f>23500/1.1</f>
        <v>21363.63636363636</v>
      </c>
      <c r="F1233" s="154"/>
      <c r="G1233" s="168"/>
    </row>
    <row r="1234" spans="1:7" s="169" customFormat="1">
      <c r="A1234" s="31">
        <f t="shared" si="53"/>
        <v>7</v>
      </c>
      <c r="B1234" s="93" t="s">
        <v>1172</v>
      </c>
      <c r="C1234" s="73" t="s">
        <v>1066</v>
      </c>
      <c r="D1234" s="157"/>
      <c r="E1234" s="154">
        <f>28550/1.1</f>
        <v>25954.545454545452</v>
      </c>
      <c r="F1234" s="154"/>
      <c r="G1234" s="168"/>
    </row>
    <row r="1235" spans="1:7" s="169" customFormat="1">
      <c r="A1235" s="31">
        <f t="shared" si="53"/>
        <v>8</v>
      </c>
      <c r="B1235" s="93" t="s">
        <v>1173</v>
      </c>
      <c r="C1235" s="73" t="s">
        <v>1066</v>
      </c>
      <c r="D1235" s="157"/>
      <c r="E1235" s="154">
        <f>34750/1.1</f>
        <v>31590.909090909088</v>
      </c>
      <c r="F1235" s="154"/>
      <c r="G1235" s="168"/>
    </row>
    <row r="1236" spans="1:7" s="169" customFormat="1">
      <c r="A1236" s="31">
        <f t="shared" si="53"/>
        <v>7</v>
      </c>
      <c r="B1236" s="93" t="s">
        <v>1174</v>
      </c>
      <c r="C1236" s="73" t="s">
        <v>1066</v>
      </c>
      <c r="D1236" s="157"/>
      <c r="E1236" s="154">
        <f>30800/1.1</f>
        <v>27999.999999999996</v>
      </c>
      <c r="F1236" s="154"/>
      <c r="G1236" s="168"/>
    </row>
    <row r="1237" spans="1:7" s="169" customFormat="1">
      <c r="A1237" s="31">
        <f t="shared" si="53"/>
        <v>8</v>
      </c>
      <c r="B1237" s="93" t="s">
        <v>1175</v>
      </c>
      <c r="C1237" s="73" t="s">
        <v>1066</v>
      </c>
      <c r="D1237" s="157"/>
      <c r="E1237" s="154">
        <f>42200/1.1</f>
        <v>38363.63636363636</v>
      </c>
      <c r="F1237" s="154"/>
      <c r="G1237" s="168"/>
    </row>
    <row r="1238" spans="1:7" s="169" customFormat="1">
      <c r="A1238" s="31">
        <f t="shared" si="53"/>
        <v>9</v>
      </c>
      <c r="B1238" s="93" t="s">
        <v>1176</v>
      </c>
      <c r="C1238" s="73" t="s">
        <v>1066</v>
      </c>
      <c r="D1238" s="157"/>
      <c r="E1238" s="154">
        <f>45900/1.1</f>
        <v>41727.272727272721</v>
      </c>
      <c r="F1238" s="154"/>
      <c r="G1238" s="168"/>
    </row>
    <row r="1239" spans="1:7" s="169" customFormat="1">
      <c r="A1239" s="31">
        <f t="shared" si="53"/>
        <v>8</v>
      </c>
      <c r="B1239" s="93" t="s">
        <v>1177</v>
      </c>
      <c r="C1239" s="73" t="s">
        <v>1066</v>
      </c>
      <c r="D1239" s="157"/>
      <c r="E1239" s="154">
        <f>66100/1.1</f>
        <v>60090.909090909088</v>
      </c>
      <c r="F1239" s="154"/>
      <c r="G1239" s="168"/>
    </row>
    <row r="1240" spans="1:7" s="169" customFormat="1">
      <c r="A1240" s="31">
        <f t="shared" si="53"/>
        <v>9</v>
      </c>
      <c r="B1240" s="93" t="s">
        <v>1178</v>
      </c>
      <c r="C1240" s="73" t="s">
        <v>1066</v>
      </c>
      <c r="D1240" s="157"/>
      <c r="E1240" s="154">
        <f>43200/1.1</f>
        <v>39272.727272727272</v>
      </c>
      <c r="F1240" s="154"/>
      <c r="G1240" s="168"/>
    </row>
    <row r="1241" spans="1:7" s="169" customFormat="1">
      <c r="A1241" s="31">
        <f t="shared" si="53"/>
        <v>10</v>
      </c>
      <c r="B1241" s="93" t="s">
        <v>1179</v>
      </c>
      <c r="C1241" s="73" t="s">
        <v>1066</v>
      </c>
      <c r="D1241" s="157"/>
      <c r="E1241" s="154">
        <f>62100/1.1</f>
        <v>56454.545454545449</v>
      </c>
      <c r="F1241" s="154"/>
      <c r="G1241" s="168"/>
    </row>
    <row r="1242" spans="1:7" s="169" customFormat="1">
      <c r="A1242" s="31">
        <f t="shared" si="53"/>
        <v>9</v>
      </c>
      <c r="B1242" s="93" t="s">
        <v>1180</v>
      </c>
      <c r="C1242" s="73" t="s">
        <v>1066</v>
      </c>
      <c r="D1242" s="157"/>
      <c r="E1242" s="154">
        <f>71400/1.1</f>
        <v>64909.090909090904</v>
      </c>
      <c r="F1242" s="154"/>
      <c r="G1242" s="168"/>
    </row>
    <row r="1243" spans="1:7" s="169" customFormat="1" ht="27">
      <c r="A1243" s="31"/>
      <c r="B1243" s="8" t="s">
        <v>1181</v>
      </c>
      <c r="C1243" s="63"/>
      <c r="D1243" s="143"/>
      <c r="E1243" s="143"/>
      <c r="F1243" s="143"/>
      <c r="G1243" s="168"/>
    </row>
    <row r="1244" spans="1:7" s="169" customFormat="1">
      <c r="A1244" s="31">
        <f>+A1242+1</f>
        <v>10</v>
      </c>
      <c r="B1244" s="93" t="s">
        <v>1182</v>
      </c>
      <c r="C1244" s="73" t="s">
        <v>1066</v>
      </c>
      <c r="D1244" s="154"/>
      <c r="E1244" s="154">
        <f>95500/1.1</f>
        <v>86818.181818181809</v>
      </c>
      <c r="F1244" s="154"/>
      <c r="G1244" s="168"/>
    </row>
    <row r="1245" spans="1:7" s="169" customFormat="1">
      <c r="A1245" s="31">
        <f t="shared" si="52"/>
        <v>11</v>
      </c>
      <c r="B1245" s="93" t="s">
        <v>1183</v>
      </c>
      <c r="C1245" s="73" t="s">
        <v>1066</v>
      </c>
      <c r="D1245" s="154"/>
      <c r="E1245" s="154">
        <f>85400/1.1</f>
        <v>77636.363636363632</v>
      </c>
      <c r="F1245" s="154"/>
      <c r="G1245" s="168"/>
    </row>
    <row r="1246" spans="1:7" s="169" customFormat="1">
      <c r="A1246" s="31">
        <f t="shared" si="52"/>
        <v>12</v>
      </c>
      <c r="B1246" s="93" t="s">
        <v>1184</v>
      </c>
      <c r="C1246" s="73" t="s">
        <v>1066</v>
      </c>
      <c r="D1246" s="154"/>
      <c r="E1246" s="154">
        <f>93700/1.1</f>
        <v>85181.818181818177</v>
      </c>
      <c r="F1246" s="154"/>
      <c r="G1246" s="168"/>
    </row>
    <row r="1247" spans="1:7" s="169" customFormat="1">
      <c r="A1247" s="31">
        <f t="shared" si="52"/>
        <v>13</v>
      </c>
      <c r="B1247" s="93" t="s">
        <v>1185</v>
      </c>
      <c r="C1247" s="73" t="s">
        <v>1066</v>
      </c>
      <c r="D1247" s="154"/>
      <c r="E1247" s="154">
        <f>104650/1.1</f>
        <v>95136.363636363632</v>
      </c>
      <c r="F1247" s="154"/>
      <c r="G1247" s="168"/>
    </row>
    <row r="1248" spans="1:7" s="169" customFormat="1">
      <c r="A1248" s="31">
        <f t="shared" si="52"/>
        <v>14</v>
      </c>
      <c r="B1248" s="93" t="s">
        <v>1186</v>
      </c>
      <c r="C1248" s="73" t="s">
        <v>1066</v>
      </c>
      <c r="D1248" s="154"/>
      <c r="E1248" s="154">
        <f>141900/1.1</f>
        <v>128999.99999999999</v>
      </c>
      <c r="F1248" s="154"/>
      <c r="G1248" s="168"/>
    </row>
    <row r="1249" spans="1:7" s="169" customFormat="1">
      <c r="A1249" s="31">
        <f t="shared" si="52"/>
        <v>15</v>
      </c>
      <c r="B1249" s="93" t="s">
        <v>1187</v>
      </c>
      <c r="C1249" s="73" t="s">
        <v>1066</v>
      </c>
      <c r="D1249" s="154"/>
      <c r="E1249" s="154">
        <f>127900/1.1</f>
        <v>116272.72727272726</v>
      </c>
      <c r="F1249" s="154"/>
      <c r="G1249" s="168"/>
    </row>
    <row r="1250" spans="1:7" s="169" customFormat="1">
      <c r="A1250" s="31">
        <f t="shared" si="52"/>
        <v>16</v>
      </c>
      <c r="B1250" s="93" t="s">
        <v>1188</v>
      </c>
      <c r="C1250" s="73" t="s">
        <v>1066</v>
      </c>
      <c r="D1250" s="154"/>
      <c r="E1250" s="154">
        <f>149400/1.1</f>
        <v>135818.18181818179</v>
      </c>
      <c r="F1250" s="154"/>
      <c r="G1250" s="168"/>
    </row>
    <row r="1251" spans="1:7" s="169" customFormat="1">
      <c r="A1251" s="31">
        <f t="shared" si="52"/>
        <v>17</v>
      </c>
      <c r="B1251" s="93" t="s">
        <v>1189</v>
      </c>
      <c r="C1251" s="73" t="s">
        <v>1066</v>
      </c>
      <c r="D1251" s="154"/>
      <c r="E1251" s="154">
        <f>178000/1.1</f>
        <v>161818.18181818179</v>
      </c>
      <c r="F1251" s="154"/>
      <c r="G1251" s="168"/>
    </row>
    <row r="1252" spans="1:7" s="169" customFormat="1">
      <c r="A1252" s="31">
        <f t="shared" si="52"/>
        <v>18</v>
      </c>
      <c r="B1252" s="93" t="s">
        <v>1190</v>
      </c>
      <c r="C1252" s="73" t="s">
        <v>1066</v>
      </c>
      <c r="D1252" s="154"/>
      <c r="E1252" s="154">
        <f>218800/1.1</f>
        <v>198909.09090909088</v>
      </c>
      <c r="F1252" s="154"/>
      <c r="G1252" s="168"/>
    </row>
    <row r="1253" spans="1:7" s="169" customFormat="1">
      <c r="A1253" s="31">
        <f t="shared" si="52"/>
        <v>19</v>
      </c>
      <c r="B1253" s="93" t="s">
        <v>1191</v>
      </c>
      <c r="C1253" s="73" t="s">
        <v>1066</v>
      </c>
      <c r="D1253" s="154"/>
      <c r="E1253" s="154">
        <f>231200/1.1</f>
        <v>210181.81818181818</v>
      </c>
      <c r="F1253" s="154"/>
      <c r="G1253" s="168"/>
    </row>
    <row r="1254" spans="1:7" s="169" customFormat="1">
      <c r="A1254" s="31">
        <f t="shared" si="52"/>
        <v>20</v>
      </c>
      <c r="B1254" s="93" t="s">
        <v>1192</v>
      </c>
      <c r="C1254" s="73" t="s">
        <v>1066</v>
      </c>
      <c r="D1254" s="154"/>
      <c r="E1254" s="154">
        <f>270000/1.1</f>
        <v>245454.54545454544</v>
      </c>
      <c r="F1254" s="154"/>
      <c r="G1254" s="168"/>
    </row>
    <row r="1255" spans="1:7" s="169" customFormat="1">
      <c r="A1255" s="31">
        <f t="shared" si="52"/>
        <v>21</v>
      </c>
      <c r="B1255" s="93" t="s">
        <v>1193</v>
      </c>
      <c r="C1255" s="73" t="s">
        <v>1066</v>
      </c>
      <c r="D1255" s="154"/>
      <c r="E1255" s="154">
        <f>341000/1.1</f>
        <v>310000</v>
      </c>
      <c r="F1255" s="154"/>
      <c r="G1255" s="168"/>
    </row>
    <row r="1256" spans="1:7" s="169" customFormat="1">
      <c r="A1256" s="31">
        <f t="shared" si="52"/>
        <v>22</v>
      </c>
      <c r="B1256" s="93" t="s">
        <v>1194</v>
      </c>
      <c r="C1256" s="73" t="s">
        <v>1066</v>
      </c>
      <c r="D1256" s="154"/>
      <c r="E1256" s="154">
        <f>355100/1.1</f>
        <v>322818.18181818177</v>
      </c>
      <c r="F1256" s="154"/>
      <c r="G1256" s="168"/>
    </row>
    <row r="1257" spans="1:7" s="169" customFormat="1">
      <c r="A1257" s="31">
        <f t="shared" si="52"/>
        <v>23</v>
      </c>
      <c r="B1257" s="93" t="s">
        <v>1195</v>
      </c>
      <c r="C1257" s="73" t="s">
        <v>1066</v>
      </c>
      <c r="D1257" s="154"/>
      <c r="E1257" s="154">
        <f>424700/1.1</f>
        <v>386090.90909090906</v>
      </c>
      <c r="F1257" s="154"/>
      <c r="G1257" s="168"/>
    </row>
    <row r="1258" spans="1:7" s="169" customFormat="1">
      <c r="A1258" s="31">
        <f t="shared" si="52"/>
        <v>24</v>
      </c>
      <c r="B1258" s="93" t="s">
        <v>1196</v>
      </c>
      <c r="C1258" s="73" t="s">
        <v>1066</v>
      </c>
      <c r="D1258" s="154"/>
      <c r="E1258" s="154">
        <f>430100/1.1</f>
        <v>390999.99999999994</v>
      </c>
      <c r="F1258" s="154"/>
      <c r="G1258" s="168"/>
    </row>
    <row r="1259" spans="1:7" s="169" customFormat="1">
      <c r="A1259" s="31">
        <f t="shared" si="52"/>
        <v>25</v>
      </c>
      <c r="B1259" s="93" t="s">
        <v>1197</v>
      </c>
      <c r="C1259" s="73" t="s">
        <v>1066</v>
      </c>
      <c r="D1259" s="154"/>
      <c r="E1259" s="154">
        <f>551800/1.1</f>
        <v>501636.36363636359</v>
      </c>
      <c r="F1259" s="154"/>
      <c r="G1259" s="168"/>
    </row>
    <row r="1260" spans="1:7" s="169" customFormat="1">
      <c r="A1260" s="31">
        <f t="shared" si="52"/>
        <v>26</v>
      </c>
      <c r="B1260" s="93" t="s">
        <v>1198</v>
      </c>
      <c r="C1260" s="73" t="s">
        <v>1066</v>
      </c>
      <c r="D1260" s="154"/>
      <c r="E1260" s="154">
        <f>704300/1.1</f>
        <v>640272.72727272718</v>
      </c>
      <c r="F1260" s="154"/>
      <c r="G1260" s="168"/>
    </row>
    <row r="1261" spans="1:7" s="169" customFormat="1">
      <c r="A1261" s="31">
        <f t="shared" si="52"/>
        <v>27</v>
      </c>
      <c r="B1261" s="93" t="s">
        <v>1199</v>
      </c>
      <c r="C1261" s="73" t="s">
        <v>1066</v>
      </c>
      <c r="D1261" s="154"/>
      <c r="E1261" s="154">
        <f>1087000/1.1</f>
        <v>988181.81818181812</v>
      </c>
      <c r="F1261" s="154"/>
      <c r="G1261" s="168"/>
    </row>
    <row r="1262" spans="1:7" s="169" customFormat="1">
      <c r="A1262" s="31">
        <f t="shared" si="52"/>
        <v>28</v>
      </c>
      <c r="B1262" s="93" t="s">
        <v>1200</v>
      </c>
      <c r="C1262" s="73" t="s">
        <v>1066</v>
      </c>
      <c r="D1262" s="154"/>
      <c r="E1262" s="154">
        <f>1081300/1.1</f>
        <v>982999.99999999988</v>
      </c>
      <c r="F1262" s="154"/>
      <c r="G1262" s="168"/>
    </row>
    <row r="1263" spans="1:7" s="169" customFormat="1">
      <c r="A1263" s="31">
        <f t="shared" si="52"/>
        <v>29</v>
      </c>
      <c r="B1263" s="93" t="s">
        <v>1201</v>
      </c>
      <c r="C1263" s="73" t="s">
        <v>1066</v>
      </c>
      <c r="D1263" s="154"/>
      <c r="E1263" s="154">
        <f>1685100/1.1</f>
        <v>1531909.0909090908</v>
      </c>
      <c r="F1263" s="154"/>
      <c r="G1263" s="168"/>
    </row>
    <row r="1264" spans="1:7" s="169" customFormat="1">
      <c r="A1264" s="31">
        <f t="shared" si="52"/>
        <v>30</v>
      </c>
      <c r="B1264" s="93" t="s">
        <v>1202</v>
      </c>
      <c r="C1264" s="73" t="s">
        <v>1066</v>
      </c>
      <c r="D1264" s="154"/>
      <c r="E1264" s="154">
        <f>2131200/1.1</f>
        <v>1937454.5454545454</v>
      </c>
      <c r="F1264" s="154"/>
      <c r="G1264" s="168"/>
    </row>
    <row r="1265" spans="1:7" s="169" customFormat="1">
      <c r="A1265" s="31"/>
      <c r="B1265" s="8" t="s">
        <v>1203</v>
      </c>
      <c r="C1265" s="73"/>
      <c r="D1265" s="154"/>
      <c r="E1265" s="154"/>
      <c r="F1265" s="154"/>
      <c r="G1265" s="168"/>
    </row>
    <row r="1266" spans="1:7" s="169" customFormat="1" ht="17.25">
      <c r="A1266" s="31">
        <f>+A1264+1</f>
        <v>31</v>
      </c>
      <c r="B1266" s="6" t="s">
        <v>1204</v>
      </c>
      <c r="C1266" s="31" t="s">
        <v>135</v>
      </c>
      <c r="D1266" s="154"/>
      <c r="E1266" s="154">
        <v>2100</v>
      </c>
      <c r="F1266" s="154"/>
      <c r="G1266" s="168"/>
    </row>
    <row r="1267" spans="1:7" s="169" customFormat="1" ht="17.25">
      <c r="A1267" s="31">
        <f t="shared" si="52"/>
        <v>32</v>
      </c>
      <c r="B1267" s="6" t="s">
        <v>1205</v>
      </c>
      <c r="C1267" s="31" t="s">
        <v>135</v>
      </c>
      <c r="D1267" s="154"/>
      <c r="E1267" s="154">
        <v>3400</v>
      </c>
      <c r="F1267" s="154"/>
      <c r="G1267" s="168"/>
    </row>
    <row r="1268" spans="1:7" s="169" customFormat="1" ht="17.25">
      <c r="A1268" s="31">
        <f t="shared" si="52"/>
        <v>33</v>
      </c>
      <c r="B1268" s="6" t="s">
        <v>1206</v>
      </c>
      <c r="C1268" s="31" t="s">
        <v>135</v>
      </c>
      <c r="D1268" s="154"/>
      <c r="E1268" s="154">
        <v>4800</v>
      </c>
      <c r="F1268" s="154"/>
      <c r="G1268" s="168"/>
    </row>
    <row r="1269" spans="1:7" s="169" customFormat="1" ht="17.25">
      <c r="A1269" s="31">
        <f t="shared" si="52"/>
        <v>34</v>
      </c>
      <c r="B1269" s="6" t="s">
        <v>1207</v>
      </c>
      <c r="C1269" s="31" t="s">
        <v>135</v>
      </c>
      <c r="D1269" s="154"/>
      <c r="E1269" s="154">
        <v>7300</v>
      </c>
      <c r="F1269" s="154"/>
      <c r="G1269" s="168"/>
    </row>
    <row r="1270" spans="1:7" s="169" customFormat="1" ht="17.25">
      <c r="A1270" s="31">
        <f t="shared" si="52"/>
        <v>35</v>
      </c>
      <c r="B1270" s="6" t="s">
        <v>1208</v>
      </c>
      <c r="C1270" s="31" t="s">
        <v>135</v>
      </c>
      <c r="D1270" s="154"/>
      <c r="E1270" s="154">
        <v>11400</v>
      </c>
      <c r="F1270" s="154"/>
      <c r="G1270" s="168"/>
    </row>
    <row r="1271" spans="1:7" s="169" customFormat="1" ht="17.25">
      <c r="A1271" s="31">
        <f t="shared" si="52"/>
        <v>36</v>
      </c>
      <c r="B1271" s="6" t="s">
        <v>1209</v>
      </c>
      <c r="C1271" s="31" t="s">
        <v>135</v>
      </c>
      <c r="D1271" s="154"/>
      <c r="E1271" s="154">
        <v>18200</v>
      </c>
      <c r="F1271" s="154"/>
      <c r="G1271" s="168"/>
    </row>
    <row r="1272" spans="1:7" s="169" customFormat="1" ht="17.25">
      <c r="A1272" s="31">
        <f t="shared" si="52"/>
        <v>37</v>
      </c>
      <c r="B1272" s="6" t="s">
        <v>1210</v>
      </c>
      <c r="C1272" s="31" t="s">
        <v>135</v>
      </c>
      <c r="D1272" s="154"/>
      <c r="E1272" s="154">
        <v>2800</v>
      </c>
      <c r="F1272" s="154"/>
      <c r="G1272" s="168"/>
    </row>
    <row r="1273" spans="1:7" s="169" customFormat="1" ht="17.25">
      <c r="A1273" s="31">
        <f t="shared" si="52"/>
        <v>38</v>
      </c>
      <c r="B1273" s="6" t="s">
        <v>1211</v>
      </c>
      <c r="C1273" s="31" t="s">
        <v>135</v>
      </c>
      <c r="D1273" s="154"/>
      <c r="E1273" s="154">
        <v>4600</v>
      </c>
      <c r="F1273" s="154"/>
      <c r="G1273" s="168"/>
    </row>
    <row r="1274" spans="1:7" s="169" customFormat="1" ht="17.25">
      <c r="A1274" s="31">
        <f t="shared" si="52"/>
        <v>39</v>
      </c>
      <c r="B1274" s="6" t="s">
        <v>1212</v>
      </c>
      <c r="C1274" s="31" t="s">
        <v>135</v>
      </c>
      <c r="D1274" s="154"/>
      <c r="E1274" s="154">
        <v>7400</v>
      </c>
      <c r="F1274" s="154"/>
      <c r="G1274" s="168"/>
    </row>
    <row r="1275" spans="1:7" s="169" customFormat="1" ht="17.25">
      <c r="A1275" s="31">
        <f t="shared" si="52"/>
        <v>40</v>
      </c>
      <c r="B1275" s="6" t="s">
        <v>1213</v>
      </c>
      <c r="C1275" s="31" t="s">
        <v>135</v>
      </c>
      <c r="D1275" s="154"/>
      <c r="E1275" s="154">
        <v>9800</v>
      </c>
      <c r="F1275" s="154"/>
      <c r="G1275" s="168"/>
    </row>
    <row r="1276" spans="1:7" s="169" customFormat="1" ht="17.25">
      <c r="A1276" s="31">
        <f t="shared" si="52"/>
        <v>41</v>
      </c>
      <c r="B1276" s="6" t="s">
        <v>1214</v>
      </c>
      <c r="C1276" s="31" t="s">
        <v>135</v>
      </c>
      <c r="D1276" s="154"/>
      <c r="E1276" s="154">
        <v>14500</v>
      </c>
      <c r="F1276" s="154"/>
      <c r="G1276" s="168"/>
    </row>
    <row r="1277" spans="1:7" s="169" customFormat="1" ht="17.25">
      <c r="A1277" s="31">
        <f t="shared" si="52"/>
        <v>42</v>
      </c>
      <c r="B1277" s="6" t="s">
        <v>1215</v>
      </c>
      <c r="C1277" s="31" t="s">
        <v>135</v>
      </c>
      <c r="D1277" s="154"/>
      <c r="E1277" s="154">
        <v>24900</v>
      </c>
      <c r="F1277" s="154"/>
      <c r="G1277" s="168"/>
    </row>
    <row r="1278" spans="1:7" s="169" customFormat="1">
      <c r="A1278" s="31">
        <f t="shared" si="52"/>
        <v>43</v>
      </c>
      <c r="B1278" s="6" t="s">
        <v>1216</v>
      </c>
      <c r="C1278" s="31" t="s">
        <v>135</v>
      </c>
      <c r="D1278" s="154"/>
      <c r="E1278" s="154">
        <v>1600</v>
      </c>
      <c r="F1278" s="154"/>
      <c r="G1278" s="168"/>
    </row>
    <row r="1279" spans="1:7" s="169" customFormat="1">
      <c r="A1279" s="31">
        <f t="shared" si="52"/>
        <v>44</v>
      </c>
      <c r="B1279" s="6" t="s">
        <v>1217</v>
      </c>
      <c r="C1279" s="31" t="s">
        <v>135</v>
      </c>
      <c r="D1279" s="154"/>
      <c r="E1279" s="154">
        <v>2200</v>
      </c>
      <c r="F1279" s="154"/>
      <c r="G1279" s="168"/>
    </row>
    <row r="1280" spans="1:7" s="169" customFormat="1">
      <c r="A1280" s="31">
        <f t="shared" si="52"/>
        <v>45</v>
      </c>
      <c r="B1280" s="6" t="s">
        <v>1218</v>
      </c>
      <c r="C1280" s="31" t="s">
        <v>135</v>
      </c>
      <c r="D1280" s="154"/>
      <c r="E1280" s="154">
        <v>3700</v>
      </c>
      <c r="F1280" s="154"/>
      <c r="G1280" s="168"/>
    </row>
    <row r="1281" spans="1:7" s="169" customFormat="1">
      <c r="A1281" s="31">
        <f t="shared" si="52"/>
        <v>46</v>
      </c>
      <c r="B1281" s="6" t="s">
        <v>1219</v>
      </c>
      <c r="C1281" s="31" t="s">
        <v>135</v>
      </c>
      <c r="D1281" s="154"/>
      <c r="E1281" s="154">
        <v>5100</v>
      </c>
      <c r="F1281" s="154"/>
      <c r="G1281" s="168"/>
    </row>
    <row r="1282" spans="1:7" s="169" customFormat="1">
      <c r="A1282" s="31">
        <f t="shared" si="52"/>
        <v>47</v>
      </c>
      <c r="B1282" s="6" t="s">
        <v>1220</v>
      </c>
      <c r="C1282" s="31" t="s">
        <v>135</v>
      </c>
      <c r="D1282" s="154"/>
      <c r="E1282" s="154">
        <v>7900</v>
      </c>
      <c r="F1282" s="154"/>
      <c r="G1282" s="168"/>
    </row>
    <row r="1283" spans="1:7" s="169" customFormat="1">
      <c r="A1283" s="31">
        <f t="shared" si="52"/>
        <v>48</v>
      </c>
      <c r="B1283" s="6" t="s">
        <v>1221</v>
      </c>
      <c r="C1283" s="31" t="s">
        <v>135</v>
      </c>
      <c r="D1283" s="154"/>
      <c r="E1283" s="154">
        <v>12200</v>
      </c>
      <c r="F1283" s="154"/>
      <c r="G1283" s="168"/>
    </row>
    <row r="1284" spans="1:7" s="169" customFormat="1">
      <c r="A1284" s="31">
        <f>+A1283+1</f>
        <v>49</v>
      </c>
      <c r="B1284" s="93" t="s">
        <v>1222</v>
      </c>
      <c r="C1284" s="73" t="s">
        <v>1223</v>
      </c>
      <c r="D1284" s="157"/>
      <c r="E1284" s="154">
        <v>100900</v>
      </c>
      <c r="F1284" s="154"/>
      <c r="G1284" s="168"/>
    </row>
    <row r="1285" spans="1:7" s="169" customFormat="1">
      <c r="A1285" s="31"/>
      <c r="B1285" s="76" t="s">
        <v>1224</v>
      </c>
      <c r="C1285" s="27"/>
      <c r="D1285" s="160"/>
      <c r="E1285" s="160"/>
      <c r="F1285" s="160"/>
      <c r="G1285" s="168"/>
    </row>
    <row r="1286" spans="1:7" s="169" customFormat="1">
      <c r="A1286" s="31">
        <f>+A1284+1</f>
        <v>50</v>
      </c>
      <c r="B1286" s="93" t="s">
        <v>1225</v>
      </c>
      <c r="C1286" s="73" t="s">
        <v>1066</v>
      </c>
      <c r="D1286" s="157"/>
      <c r="E1286" s="154">
        <f>6710/1.1</f>
        <v>6099.9999999999991</v>
      </c>
      <c r="F1286" s="154"/>
      <c r="G1286" s="168"/>
    </row>
    <row r="1287" spans="1:7" s="169" customFormat="1">
      <c r="A1287" s="31">
        <f>+A1286+1</f>
        <v>51</v>
      </c>
      <c r="B1287" s="93" t="s">
        <v>1226</v>
      </c>
      <c r="C1287" s="73" t="s">
        <v>1066</v>
      </c>
      <c r="D1287" s="157"/>
      <c r="E1287" s="154">
        <f>8910/1.1</f>
        <v>8099.9999999999991</v>
      </c>
      <c r="F1287" s="154"/>
      <c r="G1287" s="168"/>
    </row>
    <row r="1288" spans="1:7" s="169" customFormat="1">
      <c r="A1288" s="31">
        <f t="shared" ref="A1288:A1298" si="54">+A1286+1</f>
        <v>51</v>
      </c>
      <c r="B1288" s="93" t="s">
        <v>1227</v>
      </c>
      <c r="C1288" s="73" t="s">
        <v>1066</v>
      </c>
      <c r="D1288" s="157"/>
      <c r="E1288" s="154">
        <f>16390/1.1</f>
        <v>14899.999999999998</v>
      </c>
      <c r="F1288" s="154"/>
      <c r="G1288" s="168"/>
    </row>
    <row r="1289" spans="1:7" s="169" customFormat="1">
      <c r="A1289" s="31">
        <f t="shared" si="54"/>
        <v>52</v>
      </c>
      <c r="B1289" s="93" t="s">
        <v>1228</v>
      </c>
      <c r="C1289" s="73" t="s">
        <v>1066</v>
      </c>
      <c r="D1289" s="157"/>
      <c r="E1289" s="154">
        <f>25300/1.1</f>
        <v>22999.999999999996</v>
      </c>
      <c r="F1289" s="154"/>
      <c r="G1289" s="168"/>
    </row>
    <row r="1290" spans="1:7" s="169" customFormat="1">
      <c r="A1290" s="31">
        <f t="shared" si="54"/>
        <v>52</v>
      </c>
      <c r="B1290" s="93" t="s">
        <v>1229</v>
      </c>
      <c r="C1290" s="73" t="s">
        <v>1066</v>
      </c>
      <c r="D1290" s="157"/>
      <c r="E1290" s="154">
        <f>39490/1.1</f>
        <v>35900</v>
      </c>
      <c r="F1290" s="154"/>
      <c r="G1290" s="168"/>
    </row>
    <row r="1291" spans="1:7" s="169" customFormat="1">
      <c r="A1291" s="31">
        <f t="shared" si="54"/>
        <v>53</v>
      </c>
      <c r="B1291" s="93" t="s">
        <v>1230</v>
      </c>
      <c r="C1291" s="73" t="s">
        <v>1066</v>
      </c>
      <c r="D1291" s="157"/>
      <c r="E1291" s="154">
        <f>61160/1.1</f>
        <v>55599.999999999993</v>
      </c>
      <c r="F1291" s="154"/>
      <c r="G1291" s="168"/>
    </row>
    <row r="1292" spans="1:7" s="169" customFormat="1">
      <c r="A1292" s="31">
        <f t="shared" si="54"/>
        <v>53</v>
      </c>
      <c r="B1292" s="93" t="s">
        <v>1231</v>
      </c>
      <c r="C1292" s="73" t="s">
        <v>1066</v>
      </c>
      <c r="D1292" s="157"/>
      <c r="E1292" s="154">
        <f>97570/1.1</f>
        <v>88700</v>
      </c>
      <c r="F1292" s="154"/>
      <c r="G1292" s="168"/>
    </row>
    <row r="1293" spans="1:7" s="169" customFormat="1">
      <c r="A1293" s="31">
        <f t="shared" si="54"/>
        <v>54</v>
      </c>
      <c r="B1293" s="93" t="s">
        <v>1232</v>
      </c>
      <c r="C1293" s="73" t="s">
        <v>1066</v>
      </c>
      <c r="D1293" s="157"/>
      <c r="E1293" s="154">
        <f>137170/1.1</f>
        <v>124699.99999999999</v>
      </c>
      <c r="F1293" s="154"/>
      <c r="G1293" s="168"/>
    </row>
    <row r="1294" spans="1:7" s="169" customFormat="1">
      <c r="A1294" s="31">
        <f t="shared" si="54"/>
        <v>54</v>
      </c>
      <c r="B1294" s="93" t="s">
        <v>1233</v>
      </c>
      <c r="C1294" s="73" t="s">
        <v>1066</v>
      </c>
      <c r="D1294" s="157"/>
      <c r="E1294" s="154">
        <f>197780/1.1</f>
        <v>179800</v>
      </c>
      <c r="F1294" s="154"/>
      <c r="G1294" s="168"/>
    </row>
    <row r="1295" spans="1:7" s="169" customFormat="1">
      <c r="A1295" s="31">
        <f t="shared" si="54"/>
        <v>55</v>
      </c>
      <c r="B1295" s="93" t="s">
        <v>1234</v>
      </c>
      <c r="C1295" s="73" t="s">
        <v>1066</v>
      </c>
      <c r="D1295" s="157"/>
      <c r="E1295" s="154">
        <f>295240/1.1</f>
        <v>268400</v>
      </c>
      <c r="F1295" s="154"/>
      <c r="G1295" s="168"/>
    </row>
    <row r="1296" spans="1:7" s="169" customFormat="1">
      <c r="A1296" s="31">
        <f t="shared" si="54"/>
        <v>55</v>
      </c>
      <c r="B1296" s="93" t="s">
        <v>1235</v>
      </c>
      <c r="C1296" s="73" t="s">
        <v>1066</v>
      </c>
      <c r="D1296" s="157"/>
      <c r="E1296" s="154">
        <f>372020/1.1</f>
        <v>338200</v>
      </c>
      <c r="F1296" s="154"/>
      <c r="G1296" s="168"/>
    </row>
    <row r="1297" spans="1:7" s="169" customFormat="1">
      <c r="A1297" s="31">
        <f t="shared" si="54"/>
        <v>56</v>
      </c>
      <c r="B1297" s="93" t="s">
        <v>1236</v>
      </c>
      <c r="C1297" s="73" t="s">
        <v>1066</v>
      </c>
      <c r="D1297" s="157"/>
      <c r="E1297" s="154">
        <f>479050/1.1</f>
        <v>435499.99999999994</v>
      </c>
      <c r="F1297" s="154"/>
      <c r="G1297" s="168"/>
    </row>
    <row r="1298" spans="1:7" s="169" customFormat="1">
      <c r="A1298" s="31">
        <f t="shared" si="54"/>
        <v>56</v>
      </c>
      <c r="B1298" s="93" t="s">
        <v>1237</v>
      </c>
      <c r="C1298" s="73" t="s">
        <v>1066</v>
      </c>
      <c r="D1298" s="157"/>
      <c r="E1298" s="154">
        <f>624360/1.1</f>
        <v>567600</v>
      </c>
      <c r="F1298" s="154"/>
      <c r="G1298" s="168"/>
    </row>
    <row r="1299" spans="1:7" s="169" customFormat="1">
      <c r="A1299" s="44"/>
      <c r="B1299" s="76" t="s">
        <v>1238</v>
      </c>
      <c r="C1299" s="27"/>
      <c r="D1299" s="160"/>
      <c r="E1299" s="160"/>
      <c r="F1299" s="160"/>
      <c r="G1299" s="168"/>
    </row>
    <row r="1300" spans="1:7" s="169" customFormat="1">
      <c r="A1300" s="34">
        <f>+A1298+1</f>
        <v>57</v>
      </c>
      <c r="B1300" s="93" t="s">
        <v>1239</v>
      </c>
      <c r="C1300" s="73" t="s">
        <v>1066</v>
      </c>
      <c r="D1300" s="202"/>
      <c r="E1300" s="161">
        <f>32010/1.1</f>
        <v>29099.999999999996</v>
      </c>
      <c r="F1300" s="161"/>
      <c r="G1300" s="168"/>
    </row>
    <row r="1301" spans="1:7" s="169" customFormat="1">
      <c r="A1301" s="31">
        <f>+A1300+1</f>
        <v>58</v>
      </c>
      <c r="B1301" s="93" t="s">
        <v>1240</v>
      </c>
      <c r="C1301" s="73" t="s">
        <v>1066</v>
      </c>
      <c r="D1301" s="157"/>
      <c r="E1301" s="154">
        <f>53020/1.1</f>
        <v>48199.999999999993</v>
      </c>
      <c r="F1301" s="154"/>
      <c r="G1301" s="168"/>
    </row>
    <row r="1302" spans="1:7" s="169" customFormat="1">
      <c r="A1302" s="31">
        <f t="shared" ref="A1302:A1311" si="55">+A1301+1</f>
        <v>59</v>
      </c>
      <c r="B1302" s="93" t="s">
        <v>1241</v>
      </c>
      <c r="C1302" s="73" t="s">
        <v>1066</v>
      </c>
      <c r="D1302" s="157"/>
      <c r="E1302" s="154">
        <f>82060/1.1</f>
        <v>74600</v>
      </c>
      <c r="F1302" s="154"/>
      <c r="G1302" s="168"/>
    </row>
    <row r="1303" spans="1:7" s="169" customFormat="1">
      <c r="A1303" s="31">
        <f t="shared" si="55"/>
        <v>60</v>
      </c>
      <c r="B1303" s="93" t="s">
        <v>1242</v>
      </c>
      <c r="C1303" s="73" t="s">
        <v>1066</v>
      </c>
      <c r="D1303" s="157"/>
      <c r="E1303" s="154">
        <f>125400/1.1</f>
        <v>113999.99999999999</v>
      </c>
      <c r="F1303" s="154"/>
      <c r="G1303" s="168"/>
    </row>
    <row r="1304" spans="1:7" s="169" customFormat="1">
      <c r="A1304" s="31">
        <f t="shared" si="55"/>
        <v>61</v>
      </c>
      <c r="B1304" s="93" t="s">
        <v>1243</v>
      </c>
      <c r="C1304" s="73" t="s">
        <v>1066</v>
      </c>
      <c r="D1304" s="157"/>
      <c r="E1304" s="154">
        <f>200090/1.1</f>
        <v>181899.99999999997</v>
      </c>
      <c r="F1304" s="154"/>
      <c r="G1304" s="168"/>
    </row>
    <row r="1305" spans="1:7" s="169" customFormat="1">
      <c r="A1305" s="31">
        <f t="shared" si="55"/>
        <v>62</v>
      </c>
      <c r="B1305" s="93" t="s">
        <v>1244</v>
      </c>
      <c r="C1305" s="73" t="s">
        <v>1066</v>
      </c>
      <c r="D1305" s="157"/>
      <c r="E1305" s="154">
        <f>315040/1.1</f>
        <v>286400</v>
      </c>
      <c r="F1305" s="154"/>
      <c r="G1305" s="168"/>
    </row>
    <row r="1306" spans="1:7" s="169" customFormat="1">
      <c r="A1306" s="31">
        <f t="shared" si="55"/>
        <v>63</v>
      </c>
      <c r="B1306" s="93" t="s">
        <v>1245</v>
      </c>
      <c r="C1306" s="73" t="s">
        <v>1066</v>
      </c>
      <c r="D1306" s="157"/>
      <c r="E1306" s="154">
        <f>445060/1.1</f>
        <v>404599.99999999994</v>
      </c>
      <c r="F1306" s="154"/>
      <c r="G1306" s="168"/>
    </row>
    <row r="1307" spans="1:7" s="169" customFormat="1">
      <c r="A1307" s="31">
        <f t="shared" si="55"/>
        <v>64</v>
      </c>
      <c r="B1307" s="93" t="s">
        <v>1246</v>
      </c>
      <c r="C1307" s="73" t="s">
        <v>1066</v>
      </c>
      <c r="D1307" s="157"/>
      <c r="E1307" s="154">
        <f>640090/1.1</f>
        <v>581900</v>
      </c>
      <c r="F1307" s="154"/>
      <c r="G1307" s="168"/>
    </row>
    <row r="1308" spans="1:7" s="169" customFormat="1">
      <c r="A1308" s="31">
        <f t="shared" si="55"/>
        <v>65</v>
      </c>
      <c r="B1308" s="93" t="s">
        <v>1247</v>
      </c>
      <c r="C1308" s="73" t="s">
        <v>1066</v>
      </c>
      <c r="D1308" s="157"/>
      <c r="E1308" s="154">
        <f>950070/1.1</f>
        <v>863699.99999999988</v>
      </c>
      <c r="F1308" s="154"/>
      <c r="G1308" s="168"/>
    </row>
    <row r="1309" spans="1:7" s="169" customFormat="1">
      <c r="A1309" s="31">
        <f t="shared" si="55"/>
        <v>66</v>
      </c>
      <c r="B1309" s="93" t="s">
        <v>1248</v>
      </c>
      <c r="C1309" s="73" t="s">
        <v>1066</v>
      </c>
      <c r="D1309" s="157"/>
      <c r="E1309" s="154">
        <f>1275010/1.1</f>
        <v>1159100</v>
      </c>
      <c r="F1309" s="154"/>
      <c r="G1309" s="168"/>
    </row>
    <row r="1310" spans="1:7" s="169" customFormat="1">
      <c r="A1310" s="31">
        <f t="shared" si="55"/>
        <v>67</v>
      </c>
      <c r="B1310" s="93" t="s">
        <v>1249</v>
      </c>
      <c r="C1310" s="73" t="s">
        <v>1066</v>
      </c>
      <c r="D1310" s="157"/>
      <c r="E1310" s="154">
        <f>1680030/1.1</f>
        <v>1527299.9999999998</v>
      </c>
      <c r="F1310" s="154"/>
      <c r="G1310" s="168"/>
    </row>
    <row r="1311" spans="1:7" s="169" customFormat="1">
      <c r="A1311" s="39">
        <f t="shared" si="55"/>
        <v>68</v>
      </c>
      <c r="B1311" s="95" t="s">
        <v>1250</v>
      </c>
      <c r="C1311" s="75" t="s">
        <v>1066</v>
      </c>
      <c r="D1311" s="158"/>
      <c r="E1311" s="159">
        <f>2176020/1.1</f>
        <v>1978199.9999999998</v>
      </c>
      <c r="F1311" s="159"/>
      <c r="G1311" s="168"/>
    </row>
    <row r="1312" spans="1:7" s="169" customFormat="1" ht="15.75">
      <c r="A1312" s="176" t="s">
        <v>1251</v>
      </c>
      <c r="B1312" s="213" t="s">
        <v>1252</v>
      </c>
      <c r="C1312" s="213"/>
      <c r="D1312" s="213"/>
      <c r="E1312" s="213"/>
      <c r="F1312" s="213"/>
      <c r="G1312" s="168"/>
    </row>
    <row r="1313" spans="1:7" s="169" customFormat="1" ht="15" customHeight="1">
      <c r="A1313" s="31"/>
      <c r="B1313" s="213" t="s">
        <v>1253</v>
      </c>
      <c r="C1313" s="213"/>
      <c r="D1313" s="213"/>
      <c r="E1313" s="213"/>
      <c r="F1313" s="213"/>
      <c r="G1313" s="168"/>
    </row>
    <row r="1314" spans="1:7" s="169" customFormat="1">
      <c r="A1314" s="31">
        <v>1</v>
      </c>
      <c r="B1314" s="6" t="s">
        <v>1254</v>
      </c>
      <c r="C1314" s="10" t="s">
        <v>135</v>
      </c>
      <c r="D1314" s="126"/>
      <c r="E1314" s="104">
        <f>2980000/1.1</f>
        <v>2709090.9090909087</v>
      </c>
      <c r="F1314" s="104"/>
      <c r="G1314" s="168"/>
    </row>
    <row r="1315" spans="1:7" s="169" customFormat="1">
      <c r="A1315" s="31">
        <f t="shared" ref="A1315:A1378" si="56">+A1314+1</f>
        <v>2</v>
      </c>
      <c r="B1315" s="6" t="s">
        <v>1255</v>
      </c>
      <c r="C1315" s="10" t="s">
        <v>135</v>
      </c>
      <c r="D1315" s="126"/>
      <c r="E1315" s="104">
        <f>4675000/1.1</f>
        <v>4250000</v>
      </c>
      <c r="F1315" s="104"/>
      <c r="G1315" s="168"/>
    </row>
    <row r="1316" spans="1:7" s="169" customFormat="1">
      <c r="A1316" s="32">
        <f t="shared" si="56"/>
        <v>3</v>
      </c>
      <c r="B1316" s="7" t="s">
        <v>1256</v>
      </c>
      <c r="C1316" s="33" t="s">
        <v>135</v>
      </c>
      <c r="D1316" s="130"/>
      <c r="E1316" s="104">
        <f>6270000/1.1</f>
        <v>5700000</v>
      </c>
      <c r="F1316" s="106"/>
      <c r="G1316" s="168"/>
    </row>
    <row r="1317" spans="1:7" s="169" customFormat="1" ht="15" customHeight="1">
      <c r="A1317" s="34"/>
      <c r="B1317" s="213" t="s">
        <v>1257</v>
      </c>
      <c r="C1317" s="213"/>
      <c r="D1317" s="213"/>
      <c r="E1317" s="213"/>
      <c r="F1317" s="213"/>
      <c r="G1317" s="168"/>
    </row>
    <row r="1318" spans="1:7" s="169" customFormat="1">
      <c r="A1318" s="31">
        <v>1</v>
      </c>
      <c r="B1318" s="6" t="s">
        <v>1258</v>
      </c>
      <c r="C1318" s="10" t="s">
        <v>135</v>
      </c>
      <c r="D1318" s="126"/>
      <c r="E1318" s="104">
        <f>3868000/1.1</f>
        <v>3516363.6363636362</v>
      </c>
      <c r="F1318" s="104"/>
      <c r="G1318" s="168"/>
    </row>
    <row r="1319" spans="1:7" s="169" customFormat="1">
      <c r="A1319" s="31">
        <f t="shared" si="56"/>
        <v>2</v>
      </c>
      <c r="B1319" s="6" t="s">
        <v>1259</v>
      </c>
      <c r="C1319" s="10" t="s">
        <v>135</v>
      </c>
      <c r="D1319" s="126"/>
      <c r="E1319" s="104">
        <f>5567000/1.1</f>
        <v>5060909.0909090908</v>
      </c>
      <c r="F1319" s="104"/>
      <c r="G1319" s="168"/>
    </row>
    <row r="1320" spans="1:7" s="169" customFormat="1">
      <c r="A1320" s="31">
        <f t="shared" si="56"/>
        <v>3</v>
      </c>
      <c r="B1320" s="6" t="s">
        <v>1260</v>
      </c>
      <c r="C1320" s="10" t="s">
        <v>135</v>
      </c>
      <c r="D1320" s="126"/>
      <c r="E1320" s="104">
        <f>7333000/1.1</f>
        <v>6666363.6363636358</v>
      </c>
      <c r="F1320" s="104"/>
      <c r="G1320" s="168"/>
    </row>
    <row r="1321" spans="1:7" s="169" customFormat="1">
      <c r="A1321" s="31">
        <f t="shared" si="56"/>
        <v>4</v>
      </c>
      <c r="B1321" s="6" t="s">
        <v>1261</v>
      </c>
      <c r="C1321" s="10" t="s">
        <v>135</v>
      </c>
      <c r="D1321" s="126"/>
      <c r="E1321" s="104">
        <f>10552000/1.1</f>
        <v>9592727.2727272715</v>
      </c>
      <c r="F1321" s="104"/>
      <c r="G1321" s="168"/>
    </row>
    <row r="1322" spans="1:7" s="169" customFormat="1">
      <c r="A1322" s="31">
        <f t="shared" si="56"/>
        <v>5</v>
      </c>
      <c r="B1322" s="6" t="s">
        <v>1262</v>
      </c>
      <c r="C1322" s="10" t="s">
        <v>135</v>
      </c>
      <c r="D1322" s="126"/>
      <c r="E1322" s="104">
        <f>13625000/1.1</f>
        <v>12386363.636363635</v>
      </c>
      <c r="F1322" s="104"/>
      <c r="G1322" s="168"/>
    </row>
    <row r="1323" spans="1:7" s="169" customFormat="1">
      <c r="A1323" s="31">
        <f t="shared" si="56"/>
        <v>6</v>
      </c>
      <c r="B1323" s="6" t="s">
        <v>1263</v>
      </c>
      <c r="C1323" s="10" t="s">
        <v>135</v>
      </c>
      <c r="D1323" s="126"/>
      <c r="E1323" s="104">
        <f>16407000/1.1</f>
        <v>14915454.545454545</v>
      </c>
      <c r="F1323" s="104"/>
      <c r="G1323" s="168"/>
    </row>
    <row r="1324" spans="1:7" s="169" customFormat="1">
      <c r="A1324" s="31">
        <f t="shared" si="56"/>
        <v>7</v>
      </c>
      <c r="B1324" s="6" t="s">
        <v>1264</v>
      </c>
      <c r="C1324" s="10" t="s">
        <v>135</v>
      </c>
      <c r="D1324" s="126"/>
      <c r="E1324" s="104">
        <f>4091000/1.1</f>
        <v>3719090.9090909087</v>
      </c>
      <c r="F1324" s="104"/>
      <c r="G1324" s="168"/>
    </row>
    <row r="1325" spans="1:7" s="169" customFormat="1">
      <c r="A1325" s="31">
        <f t="shared" si="56"/>
        <v>8</v>
      </c>
      <c r="B1325" s="6" t="s">
        <v>1265</v>
      </c>
      <c r="C1325" s="10" t="s">
        <v>135</v>
      </c>
      <c r="D1325" s="126"/>
      <c r="E1325" s="104">
        <f>6013000/1.1</f>
        <v>5466363.6363636358</v>
      </c>
      <c r="F1325" s="104"/>
      <c r="G1325" s="168"/>
    </row>
    <row r="1326" spans="1:7" s="169" customFormat="1">
      <c r="A1326" s="39">
        <f t="shared" si="56"/>
        <v>9</v>
      </c>
      <c r="B1326" s="78" t="s">
        <v>1266</v>
      </c>
      <c r="C1326" s="38" t="s">
        <v>135</v>
      </c>
      <c r="D1326" s="163"/>
      <c r="E1326" s="109">
        <f>7835000/1.1</f>
        <v>7122727.2727272725</v>
      </c>
      <c r="F1326" s="109"/>
      <c r="G1326" s="168"/>
    </row>
    <row r="1327" spans="1:7" s="169" customFormat="1" ht="15.75">
      <c r="A1327" s="176" t="s">
        <v>1267</v>
      </c>
      <c r="B1327" s="213" t="s">
        <v>1268</v>
      </c>
      <c r="C1327" s="213"/>
      <c r="D1327" s="213"/>
      <c r="E1327" s="213"/>
      <c r="F1327" s="213"/>
      <c r="G1327" s="168"/>
    </row>
    <row r="1328" spans="1:7" s="169" customFormat="1">
      <c r="A1328" s="31">
        <v>1</v>
      </c>
      <c r="B1328" s="6" t="s">
        <v>1269</v>
      </c>
      <c r="C1328" s="10" t="s">
        <v>119</v>
      </c>
      <c r="D1328" s="126"/>
      <c r="E1328" s="104">
        <v>76900</v>
      </c>
      <c r="F1328" s="104"/>
      <c r="G1328" s="168"/>
    </row>
    <row r="1329" spans="1:7" s="169" customFormat="1">
      <c r="A1329" s="31">
        <f t="shared" si="56"/>
        <v>2</v>
      </c>
      <c r="B1329" s="6" t="s">
        <v>1270</v>
      </c>
      <c r="C1329" s="10" t="s">
        <v>119</v>
      </c>
      <c r="D1329" s="126"/>
      <c r="E1329" s="104">
        <v>90600</v>
      </c>
      <c r="F1329" s="104"/>
      <c r="G1329" s="168"/>
    </row>
    <row r="1330" spans="1:7" s="169" customFormat="1">
      <c r="A1330" s="31">
        <f t="shared" si="56"/>
        <v>3</v>
      </c>
      <c r="B1330" s="6" t="s">
        <v>1271</v>
      </c>
      <c r="C1330" s="10" t="s">
        <v>119</v>
      </c>
      <c r="D1330" s="126"/>
      <c r="E1330" s="104">
        <v>68900</v>
      </c>
      <c r="F1330" s="104"/>
      <c r="G1330" s="168"/>
    </row>
    <row r="1331" spans="1:7" s="169" customFormat="1">
      <c r="A1331" s="31">
        <f t="shared" si="56"/>
        <v>4</v>
      </c>
      <c r="B1331" s="6" t="s">
        <v>1272</v>
      </c>
      <c r="C1331" s="10" t="s">
        <v>119</v>
      </c>
      <c r="D1331" s="126"/>
      <c r="E1331" s="104">
        <v>80300</v>
      </c>
      <c r="F1331" s="104"/>
      <c r="G1331" s="168"/>
    </row>
    <row r="1332" spans="1:7" s="169" customFormat="1">
      <c r="A1332" s="31">
        <f t="shared" si="56"/>
        <v>5</v>
      </c>
      <c r="B1332" s="6" t="s">
        <v>1273</v>
      </c>
      <c r="C1332" s="10" t="s">
        <v>119</v>
      </c>
      <c r="D1332" s="126"/>
      <c r="E1332" s="104">
        <v>58600</v>
      </c>
      <c r="F1332" s="104"/>
      <c r="G1332" s="168"/>
    </row>
    <row r="1333" spans="1:7" s="169" customFormat="1">
      <c r="A1333" s="31">
        <f t="shared" si="56"/>
        <v>6</v>
      </c>
      <c r="B1333" s="6" t="s">
        <v>1274</v>
      </c>
      <c r="C1333" s="10" t="s">
        <v>119</v>
      </c>
      <c r="D1333" s="126"/>
      <c r="E1333" s="104">
        <v>23300</v>
      </c>
      <c r="F1333" s="104"/>
      <c r="G1333" s="168"/>
    </row>
    <row r="1334" spans="1:7" s="169" customFormat="1">
      <c r="A1334" s="31">
        <f t="shared" si="56"/>
        <v>7</v>
      </c>
      <c r="B1334" s="6" t="s">
        <v>1275</v>
      </c>
      <c r="C1334" s="10" t="s">
        <v>119</v>
      </c>
      <c r="D1334" s="126"/>
      <c r="E1334" s="104">
        <v>26000</v>
      </c>
      <c r="F1334" s="104"/>
      <c r="G1334" s="168"/>
    </row>
    <row r="1335" spans="1:7" s="169" customFormat="1">
      <c r="A1335" s="31">
        <f t="shared" si="56"/>
        <v>8</v>
      </c>
      <c r="B1335" s="6" t="s">
        <v>1276</v>
      </c>
      <c r="C1335" s="10" t="s">
        <v>119</v>
      </c>
      <c r="D1335" s="126"/>
      <c r="E1335" s="104">
        <v>29200</v>
      </c>
      <c r="F1335" s="104"/>
      <c r="G1335" s="168"/>
    </row>
    <row r="1336" spans="1:7" s="169" customFormat="1">
      <c r="A1336" s="31">
        <f t="shared" si="56"/>
        <v>9</v>
      </c>
      <c r="B1336" s="23" t="s">
        <v>1277</v>
      </c>
      <c r="C1336" s="10" t="s">
        <v>135</v>
      </c>
      <c r="D1336" s="126"/>
      <c r="E1336" s="104">
        <v>3515000</v>
      </c>
      <c r="F1336" s="104"/>
      <c r="G1336" s="168"/>
    </row>
    <row r="1337" spans="1:7" s="169" customFormat="1">
      <c r="A1337" s="31">
        <f t="shared" si="56"/>
        <v>10</v>
      </c>
      <c r="B1337" s="23" t="s">
        <v>1278</v>
      </c>
      <c r="C1337" s="10" t="s">
        <v>135</v>
      </c>
      <c r="D1337" s="126"/>
      <c r="E1337" s="104">
        <v>2087100</v>
      </c>
      <c r="F1337" s="104"/>
      <c r="G1337" s="168"/>
    </row>
    <row r="1338" spans="1:7" s="169" customFormat="1">
      <c r="A1338" s="31">
        <f t="shared" si="56"/>
        <v>11</v>
      </c>
      <c r="B1338" s="6" t="s">
        <v>1279</v>
      </c>
      <c r="C1338" s="10" t="s">
        <v>175</v>
      </c>
      <c r="D1338" s="126"/>
      <c r="E1338" s="104">
        <v>37100</v>
      </c>
      <c r="F1338" s="104"/>
      <c r="G1338" s="168"/>
    </row>
    <row r="1339" spans="1:7" s="169" customFormat="1">
      <c r="A1339" s="31">
        <f t="shared" si="56"/>
        <v>12</v>
      </c>
      <c r="B1339" s="6" t="s">
        <v>1280</v>
      </c>
      <c r="C1339" s="10" t="s">
        <v>1281</v>
      </c>
      <c r="D1339" s="126"/>
      <c r="E1339" s="104">
        <v>307400</v>
      </c>
      <c r="F1339" s="104"/>
      <c r="G1339" s="168"/>
    </row>
    <row r="1340" spans="1:7" s="169" customFormat="1">
      <c r="A1340" s="31">
        <f t="shared" si="56"/>
        <v>13</v>
      </c>
      <c r="B1340" s="23" t="s">
        <v>1282</v>
      </c>
      <c r="C1340" s="10" t="s">
        <v>135</v>
      </c>
      <c r="D1340" s="126"/>
      <c r="E1340" s="104">
        <v>1098200</v>
      </c>
      <c r="F1340" s="104"/>
      <c r="G1340" s="168"/>
    </row>
    <row r="1341" spans="1:7" s="169" customFormat="1">
      <c r="A1341" s="31">
        <f t="shared" si="56"/>
        <v>14</v>
      </c>
      <c r="B1341" s="23" t="s">
        <v>1283</v>
      </c>
      <c r="C1341" s="10" t="s">
        <v>135</v>
      </c>
      <c r="D1341" s="126"/>
      <c r="E1341" s="104">
        <v>17000</v>
      </c>
      <c r="F1341" s="104"/>
      <c r="G1341" s="168"/>
    </row>
    <row r="1342" spans="1:7" s="169" customFormat="1">
      <c r="A1342" s="31">
        <f t="shared" si="56"/>
        <v>15</v>
      </c>
      <c r="B1342" s="23" t="s">
        <v>1284</v>
      </c>
      <c r="C1342" s="10" t="s">
        <v>135</v>
      </c>
      <c r="D1342" s="126"/>
      <c r="E1342" s="104">
        <v>69400</v>
      </c>
      <c r="F1342" s="104"/>
      <c r="G1342" s="168"/>
    </row>
    <row r="1343" spans="1:7" s="169" customFormat="1">
      <c r="A1343" s="31">
        <f t="shared" si="56"/>
        <v>16</v>
      </c>
      <c r="B1343" s="23" t="s">
        <v>1285</v>
      </c>
      <c r="C1343" s="10" t="s">
        <v>135</v>
      </c>
      <c r="D1343" s="126"/>
      <c r="E1343" s="104">
        <v>108700</v>
      </c>
      <c r="F1343" s="104"/>
      <c r="G1343" s="168"/>
    </row>
    <row r="1344" spans="1:7" s="169" customFormat="1">
      <c r="A1344" s="31">
        <f t="shared" si="56"/>
        <v>17</v>
      </c>
      <c r="B1344" s="23" t="s">
        <v>1286</v>
      </c>
      <c r="C1344" s="10" t="s">
        <v>135</v>
      </c>
      <c r="D1344" s="126"/>
      <c r="E1344" s="104">
        <v>150500</v>
      </c>
      <c r="F1344" s="104"/>
      <c r="G1344" s="168"/>
    </row>
    <row r="1345" spans="1:7" s="169" customFormat="1">
      <c r="A1345" s="31">
        <f t="shared" si="56"/>
        <v>18</v>
      </c>
      <c r="B1345" s="6" t="s">
        <v>1287</v>
      </c>
      <c r="C1345" s="10" t="s">
        <v>135</v>
      </c>
      <c r="D1345" s="126"/>
      <c r="E1345" s="104">
        <v>13300</v>
      </c>
      <c r="F1345" s="104"/>
      <c r="G1345" s="168"/>
    </row>
    <row r="1346" spans="1:7" s="169" customFormat="1">
      <c r="A1346" s="31">
        <f t="shared" si="56"/>
        <v>19</v>
      </c>
      <c r="B1346" s="6" t="s">
        <v>1288</v>
      </c>
      <c r="C1346" s="10" t="s">
        <v>135</v>
      </c>
      <c r="D1346" s="126"/>
      <c r="E1346" s="104">
        <v>45100</v>
      </c>
      <c r="F1346" s="104"/>
      <c r="G1346" s="168"/>
    </row>
    <row r="1347" spans="1:7" s="169" customFormat="1">
      <c r="A1347" s="31">
        <f t="shared" si="56"/>
        <v>20</v>
      </c>
      <c r="B1347" s="6" t="s">
        <v>1289</v>
      </c>
      <c r="C1347" s="10" t="s">
        <v>398</v>
      </c>
      <c r="D1347" s="126"/>
      <c r="E1347" s="104">
        <v>285100</v>
      </c>
      <c r="F1347" s="104"/>
      <c r="G1347" s="168"/>
    </row>
    <row r="1348" spans="1:7" s="169" customFormat="1">
      <c r="A1348" s="31">
        <f t="shared" si="56"/>
        <v>21</v>
      </c>
      <c r="B1348" s="6" t="s">
        <v>1290</v>
      </c>
      <c r="C1348" s="10" t="s">
        <v>398</v>
      </c>
      <c r="D1348" s="126"/>
      <c r="E1348" s="104">
        <v>90100</v>
      </c>
      <c r="F1348" s="104"/>
      <c r="G1348" s="168"/>
    </row>
    <row r="1349" spans="1:7" s="169" customFormat="1">
      <c r="A1349" s="31">
        <f t="shared" si="56"/>
        <v>22</v>
      </c>
      <c r="B1349" s="6" t="s">
        <v>1291</v>
      </c>
      <c r="C1349" s="10" t="s">
        <v>398</v>
      </c>
      <c r="D1349" s="126"/>
      <c r="E1349" s="104">
        <v>90100</v>
      </c>
      <c r="F1349" s="104"/>
      <c r="G1349" s="168"/>
    </row>
    <row r="1350" spans="1:7" s="169" customFormat="1">
      <c r="A1350" s="31">
        <f t="shared" si="56"/>
        <v>23</v>
      </c>
      <c r="B1350" s="6" t="s">
        <v>1292</v>
      </c>
      <c r="C1350" s="10" t="s">
        <v>135</v>
      </c>
      <c r="D1350" s="126"/>
      <c r="E1350" s="104">
        <v>604200</v>
      </c>
      <c r="F1350" s="104"/>
      <c r="G1350" s="168"/>
    </row>
    <row r="1351" spans="1:7" s="169" customFormat="1">
      <c r="A1351" s="31">
        <f t="shared" si="56"/>
        <v>24</v>
      </c>
      <c r="B1351" s="6" t="s">
        <v>1293</v>
      </c>
      <c r="C1351" s="10" t="s">
        <v>135</v>
      </c>
      <c r="D1351" s="126"/>
      <c r="E1351" s="104">
        <v>1607000</v>
      </c>
      <c r="F1351" s="104"/>
      <c r="G1351" s="168"/>
    </row>
    <row r="1352" spans="1:7" s="169" customFormat="1">
      <c r="A1352" s="31">
        <f t="shared" si="56"/>
        <v>25</v>
      </c>
      <c r="B1352" s="6" t="s">
        <v>1294</v>
      </c>
      <c r="C1352" s="10" t="s">
        <v>398</v>
      </c>
      <c r="D1352" s="126"/>
      <c r="E1352" s="104">
        <v>47700</v>
      </c>
      <c r="F1352" s="104"/>
      <c r="G1352" s="168"/>
    </row>
    <row r="1353" spans="1:7" s="169" customFormat="1">
      <c r="A1353" s="31">
        <f t="shared" si="56"/>
        <v>26</v>
      </c>
      <c r="B1353" s="6" t="s">
        <v>1295</v>
      </c>
      <c r="C1353" s="10" t="s">
        <v>398</v>
      </c>
      <c r="D1353" s="126"/>
      <c r="E1353" s="104">
        <v>50900</v>
      </c>
      <c r="F1353" s="104"/>
      <c r="G1353" s="168"/>
    </row>
    <row r="1354" spans="1:7" s="169" customFormat="1">
      <c r="A1354" s="31">
        <f t="shared" si="56"/>
        <v>27</v>
      </c>
      <c r="B1354" s="6" t="s">
        <v>1296</v>
      </c>
      <c r="C1354" s="10" t="s">
        <v>398</v>
      </c>
      <c r="D1354" s="126"/>
      <c r="E1354" s="104">
        <v>55100</v>
      </c>
      <c r="F1354" s="104"/>
      <c r="G1354" s="168"/>
    </row>
    <row r="1355" spans="1:7" s="169" customFormat="1">
      <c r="A1355" s="31">
        <f t="shared" si="56"/>
        <v>28</v>
      </c>
      <c r="B1355" s="6" t="s">
        <v>1297</v>
      </c>
      <c r="C1355" s="10" t="s">
        <v>135</v>
      </c>
      <c r="D1355" s="126"/>
      <c r="E1355" s="104">
        <v>20100</v>
      </c>
      <c r="F1355" s="104"/>
      <c r="G1355" s="168"/>
    </row>
    <row r="1356" spans="1:7" s="169" customFormat="1">
      <c r="A1356" s="31">
        <f t="shared" si="56"/>
        <v>29</v>
      </c>
      <c r="B1356" s="6" t="s">
        <v>1298</v>
      </c>
      <c r="C1356" s="10" t="s">
        <v>135</v>
      </c>
      <c r="D1356" s="126"/>
      <c r="E1356" s="104">
        <v>20100</v>
      </c>
      <c r="F1356" s="104"/>
      <c r="G1356" s="168"/>
    </row>
    <row r="1357" spans="1:7" s="169" customFormat="1">
      <c r="A1357" s="31">
        <f t="shared" si="56"/>
        <v>30</v>
      </c>
      <c r="B1357" s="6" t="s">
        <v>1299</v>
      </c>
      <c r="C1357" s="10" t="s">
        <v>135</v>
      </c>
      <c r="D1357" s="126"/>
      <c r="E1357" s="104">
        <v>18000</v>
      </c>
      <c r="F1357" s="104"/>
      <c r="G1357" s="168"/>
    </row>
    <row r="1358" spans="1:7" s="169" customFormat="1">
      <c r="A1358" s="31">
        <f t="shared" si="56"/>
        <v>31</v>
      </c>
      <c r="B1358" s="6" t="s">
        <v>1300</v>
      </c>
      <c r="C1358" s="10" t="s">
        <v>135</v>
      </c>
      <c r="D1358" s="126"/>
      <c r="E1358" s="104">
        <v>14500</v>
      </c>
      <c r="F1358" s="104"/>
      <c r="G1358" s="168"/>
    </row>
    <row r="1359" spans="1:7" s="169" customFormat="1">
      <c r="A1359" s="31">
        <f t="shared" si="56"/>
        <v>32</v>
      </c>
      <c r="B1359" s="6" t="s">
        <v>1301</v>
      </c>
      <c r="C1359" s="10" t="s">
        <v>135</v>
      </c>
      <c r="D1359" s="126"/>
      <c r="E1359" s="104">
        <v>18100</v>
      </c>
      <c r="F1359" s="104"/>
      <c r="G1359" s="168"/>
    </row>
    <row r="1360" spans="1:7" s="169" customFormat="1">
      <c r="A1360" s="31">
        <f t="shared" si="56"/>
        <v>33</v>
      </c>
      <c r="B1360" s="6" t="s">
        <v>1302</v>
      </c>
      <c r="C1360" s="10" t="s">
        <v>135</v>
      </c>
      <c r="D1360" s="126"/>
      <c r="E1360" s="104">
        <v>11600</v>
      </c>
      <c r="F1360" s="104"/>
      <c r="G1360" s="168"/>
    </row>
    <row r="1361" spans="1:7" s="169" customFormat="1">
      <c r="A1361" s="31">
        <f t="shared" si="56"/>
        <v>34</v>
      </c>
      <c r="B1361" s="6" t="s">
        <v>1303</v>
      </c>
      <c r="C1361" s="10" t="s">
        <v>135</v>
      </c>
      <c r="D1361" s="126"/>
      <c r="E1361" s="104">
        <v>12100</v>
      </c>
      <c r="F1361" s="104"/>
      <c r="G1361" s="168"/>
    </row>
    <row r="1362" spans="1:7" s="169" customFormat="1">
      <c r="A1362" s="31">
        <f t="shared" si="56"/>
        <v>35</v>
      </c>
      <c r="B1362" s="6" t="s">
        <v>1304</v>
      </c>
      <c r="C1362" s="10" t="s">
        <v>1305</v>
      </c>
      <c r="D1362" s="126"/>
      <c r="E1362" s="104">
        <v>42300</v>
      </c>
      <c r="F1362" s="104"/>
      <c r="G1362" s="168"/>
    </row>
    <row r="1363" spans="1:7" s="169" customFormat="1">
      <c r="A1363" s="31">
        <f t="shared" si="56"/>
        <v>36</v>
      </c>
      <c r="B1363" s="6" t="s">
        <v>1306</v>
      </c>
      <c r="C1363" s="10" t="s">
        <v>1305</v>
      </c>
      <c r="D1363" s="126"/>
      <c r="E1363" s="104">
        <v>54400</v>
      </c>
      <c r="F1363" s="104"/>
      <c r="G1363" s="168"/>
    </row>
    <row r="1364" spans="1:7" s="169" customFormat="1">
      <c r="A1364" s="31">
        <f t="shared" si="56"/>
        <v>37</v>
      </c>
      <c r="B1364" s="6" t="s">
        <v>1307</v>
      </c>
      <c r="C1364" s="10" t="s">
        <v>1305</v>
      </c>
      <c r="D1364" s="126"/>
      <c r="E1364" s="104">
        <v>59200</v>
      </c>
      <c r="F1364" s="104"/>
      <c r="G1364" s="168"/>
    </row>
    <row r="1365" spans="1:7" s="169" customFormat="1">
      <c r="A1365" s="31">
        <f t="shared" si="56"/>
        <v>38</v>
      </c>
      <c r="B1365" s="6" t="s">
        <v>1308</v>
      </c>
      <c r="C1365" s="10" t="s">
        <v>1305</v>
      </c>
      <c r="D1365" s="126"/>
      <c r="E1365" s="104">
        <v>106300</v>
      </c>
      <c r="F1365" s="104"/>
      <c r="G1365" s="168"/>
    </row>
    <row r="1366" spans="1:7" s="169" customFormat="1">
      <c r="A1366" s="31">
        <f t="shared" si="56"/>
        <v>39</v>
      </c>
      <c r="B1366" s="6" t="s">
        <v>1309</v>
      </c>
      <c r="C1366" s="10" t="s">
        <v>1305</v>
      </c>
      <c r="D1366" s="126"/>
      <c r="E1366" s="104">
        <v>44700</v>
      </c>
      <c r="F1366" s="104"/>
      <c r="G1366" s="168"/>
    </row>
    <row r="1367" spans="1:7" s="169" customFormat="1">
      <c r="A1367" s="31">
        <f t="shared" si="56"/>
        <v>40</v>
      </c>
      <c r="B1367" s="6" t="s">
        <v>1310</v>
      </c>
      <c r="C1367" s="10" t="s">
        <v>1305</v>
      </c>
      <c r="D1367" s="126"/>
      <c r="E1367" s="104">
        <v>95500</v>
      </c>
      <c r="F1367" s="104"/>
      <c r="G1367" s="168"/>
    </row>
    <row r="1368" spans="1:7" s="169" customFormat="1">
      <c r="A1368" s="31">
        <f t="shared" si="56"/>
        <v>41</v>
      </c>
      <c r="B1368" s="6" t="s">
        <v>1311</v>
      </c>
      <c r="C1368" s="10" t="s">
        <v>135</v>
      </c>
      <c r="D1368" s="126"/>
      <c r="E1368" s="104">
        <v>24200</v>
      </c>
      <c r="F1368" s="104"/>
      <c r="G1368" s="168"/>
    </row>
    <row r="1369" spans="1:7" s="169" customFormat="1">
      <c r="A1369" s="31">
        <f t="shared" si="56"/>
        <v>42</v>
      </c>
      <c r="B1369" s="6" t="s">
        <v>1312</v>
      </c>
      <c r="C1369" s="10" t="s">
        <v>135</v>
      </c>
      <c r="D1369" s="126"/>
      <c r="E1369" s="104">
        <v>38700</v>
      </c>
      <c r="F1369" s="104"/>
      <c r="G1369" s="168"/>
    </row>
    <row r="1370" spans="1:7" s="169" customFormat="1">
      <c r="A1370" s="31">
        <f t="shared" si="56"/>
        <v>43</v>
      </c>
      <c r="B1370" s="6" t="s">
        <v>1313</v>
      </c>
      <c r="C1370" s="10" t="s">
        <v>135</v>
      </c>
      <c r="D1370" s="126"/>
      <c r="E1370" s="104">
        <v>42400</v>
      </c>
      <c r="F1370" s="104"/>
      <c r="G1370" s="168"/>
    </row>
    <row r="1371" spans="1:7" s="169" customFormat="1">
      <c r="A1371" s="31">
        <f t="shared" si="56"/>
        <v>44</v>
      </c>
      <c r="B1371" s="6" t="s">
        <v>1314</v>
      </c>
      <c r="C1371" s="10" t="s">
        <v>135</v>
      </c>
      <c r="D1371" s="126"/>
      <c r="E1371" s="104">
        <v>53000</v>
      </c>
      <c r="F1371" s="104"/>
      <c r="G1371" s="168"/>
    </row>
    <row r="1372" spans="1:7" s="169" customFormat="1">
      <c r="A1372" s="31">
        <f t="shared" si="56"/>
        <v>45</v>
      </c>
      <c r="B1372" s="6" t="s">
        <v>1315</v>
      </c>
      <c r="C1372" s="10" t="s">
        <v>135</v>
      </c>
      <c r="D1372" s="126"/>
      <c r="E1372" s="104">
        <v>186000</v>
      </c>
      <c r="F1372" s="104"/>
      <c r="G1372" s="168"/>
    </row>
    <row r="1373" spans="1:7" s="169" customFormat="1">
      <c r="A1373" s="31">
        <f t="shared" si="56"/>
        <v>46</v>
      </c>
      <c r="B1373" s="6" t="s">
        <v>1316</v>
      </c>
      <c r="C1373" s="10" t="s">
        <v>135</v>
      </c>
      <c r="D1373" s="126"/>
      <c r="E1373" s="104">
        <v>49800</v>
      </c>
      <c r="F1373" s="104"/>
      <c r="G1373" s="168"/>
    </row>
    <row r="1374" spans="1:7" s="169" customFormat="1">
      <c r="A1374" s="31">
        <f t="shared" si="56"/>
        <v>47</v>
      </c>
      <c r="B1374" s="6" t="s">
        <v>1317</v>
      </c>
      <c r="C1374" s="10" t="s">
        <v>135</v>
      </c>
      <c r="D1374" s="126"/>
      <c r="E1374" s="104">
        <v>65700</v>
      </c>
      <c r="F1374" s="104"/>
      <c r="G1374" s="168"/>
    </row>
    <row r="1375" spans="1:7" s="169" customFormat="1">
      <c r="A1375" s="31">
        <f t="shared" si="56"/>
        <v>48</v>
      </c>
      <c r="B1375" s="23" t="s">
        <v>1318</v>
      </c>
      <c r="C1375" s="10" t="s">
        <v>135</v>
      </c>
      <c r="D1375" s="126"/>
      <c r="E1375" s="104">
        <v>65700</v>
      </c>
      <c r="F1375" s="104"/>
      <c r="G1375" s="168"/>
    </row>
    <row r="1376" spans="1:7" s="169" customFormat="1">
      <c r="A1376" s="31">
        <f t="shared" si="56"/>
        <v>49</v>
      </c>
      <c r="B1376" s="6" t="s">
        <v>1319</v>
      </c>
      <c r="C1376" s="10" t="s">
        <v>135</v>
      </c>
      <c r="D1376" s="126"/>
      <c r="E1376" s="104">
        <v>33900</v>
      </c>
      <c r="F1376" s="104"/>
      <c r="G1376" s="168"/>
    </row>
    <row r="1377" spans="1:7" s="169" customFormat="1">
      <c r="A1377" s="31">
        <f t="shared" si="56"/>
        <v>50</v>
      </c>
      <c r="B1377" s="6" t="s">
        <v>1320</v>
      </c>
      <c r="C1377" s="10" t="s">
        <v>135</v>
      </c>
      <c r="D1377" s="126"/>
      <c r="E1377" s="104">
        <v>47700</v>
      </c>
      <c r="F1377" s="104"/>
      <c r="G1377" s="168"/>
    </row>
    <row r="1378" spans="1:7" s="169" customFormat="1">
      <c r="A1378" s="31">
        <f t="shared" si="56"/>
        <v>51</v>
      </c>
      <c r="B1378" s="6" t="s">
        <v>1321</v>
      </c>
      <c r="C1378" s="10" t="s">
        <v>135</v>
      </c>
      <c r="D1378" s="126"/>
      <c r="E1378" s="104">
        <v>153700</v>
      </c>
      <c r="F1378" s="104"/>
      <c r="G1378" s="168"/>
    </row>
    <row r="1379" spans="1:7" s="169" customFormat="1">
      <c r="A1379" s="31">
        <f t="shared" ref="A1379:A1442" si="57">+A1378+1</f>
        <v>52</v>
      </c>
      <c r="B1379" s="6" t="s">
        <v>1322</v>
      </c>
      <c r="C1379" s="10" t="s">
        <v>135</v>
      </c>
      <c r="D1379" s="126"/>
      <c r="E1379" s="104">
        <v>65700</v>
      </c>
      <c r="F1379" s="104"/>
      <c r="G1379" s="168"/>
    </row>
    <row r="1380" spans="1:7" s="169" customFormat="1">
      <c r="A1380" s="31">
        <f t="shared" si="57"/>
        <v>53</v>
      </c>
      <c r="B1380" s="6" t="s">
        <v>1323</v>
      </c>
      <c r="C1380" s="10" t="s">
        <v>135</v>
      </c>
      <c r="D1380" s="126"/>
      <c r="E1380" s="104">
        <v>26500</v>
      </c>
      <c r="F1380" s="104"/>
      <c r="G1380" s="168"/>
    </row>
    <row r="1381" spans="1:7" s="169" customFormat="1">
      <c r="A1381" s="31">
        <f t="shared" si="57"/>
        <v>54</v>
      </c>
      <c r="B1381" s="6" t="s">
        <v>1324</v>
      </c>
      <c r="C1381" s="10" t="s">
        <v>119</v>
      </c>
      <c r="D1381" s="126"/>
      <c r="E1381" s="104">
        <v>153700</v>
      </c>
      <c r="F1381" s="104"/>
      <c r="G1381" s="168"/>
    </row>
    <row r="1382" spans="1:7" s="169" customFormat="1">
      <c r="A1382" s="31">
        <f t="shared" si="57"/>
        <v>55</v>
      </c>
      <c r="B1382" s="6" t="s">
        <v>1325</v>
      </c>
      <c r="C1382" s="10" t="s">
        <v>398</v>
      </c>
      <c r="D1382" s="126"/>
      <c r="E1382" s="104">
        <v>38200</v>
      </c>
      <c r="F1382" s="104"/>
      <c r="G1382" s="168"/>
    </row>
    <row r="1383" spans="1:7" s="169" customFormat="1">
      <c r="A1383" s="31">
        <f t="shared" si="57"/>
        <v>56</v>
      </c>
      <c r="B1383" s="6" t="s">
        <v>1326</v>
      </c>
      <c r="C1383" s="10" t="s">
        <v>398</v>
      </c>
      <c r="D1383" s="126"/>
      <c r="E1383" s="104">
        <v>249100</v>
      </c>
      <c r="F1383" s="104"/>
      <c r="G1383" s="168"/>
    </row>
    <row r="1384" spans="1:7" s="169" customFormat="1">
      <c r="A1384" s="31">
        <f t="shared" si="57"/>
        <v>57</v>
      </c>
      <c r="B1384" s="6" t="s">
        <v>1327</v>
      </c>
      <c r="C1384" s="10" t="s">
        <v>398</v>
      </c>
      <c r="D1384" s="126"/>
      <c r="E1384" s="104">
        <v>284100</v>
      </c>
      <c r="F1384" s="104"/>
      <c r="G1384" s="168"/>
    </row>
    <row r="1385" spans="1:7" s="169" customFormat="1">
      <c r="A1385" s="31">
        <f t="shared" si="57"/>
        <v>58</v>
      </c>
      <c r="B1385" s="6" t="s">
        <v>1328</v>
      </c>
      <c r="C1385" s="10" t="s">
        <v>78</v>
      </c>
      <c r="D1385" s="126"/>
      <c r="E1385" s="104">
        <v>38200</v>
      </c>
      <c r="F1385" s="104"/>
      <c r="G1385" s="168"/>
    </row>
    <row r="1386" spans="1:7" s="169" customFormat="1">
      <c r="A1386" s="31">
        <f t="shared" si="57"/>
        <v>59</v>
      </c>
      <c r="B1386" s="6" t="s">
        <v>1329</v>
      </c>
      <c r="C1386" s="10" t="s">
        <v>135</v>
      </c>
      <c r="D1386" s="126"/>
      <c r="E1386" s="104">
        <v>33900</v>
      </c>
      <c r="F1386" s="104"/>
      <c r="G1386" s="168"/>
    </row>
    <row r="1387" spans="1:7" s="169" customFormat="1">
      <c r="A1387" s="31">
        <f t="shared" si="57"/>
        <v>60</v>
      </c>
      <c r="B1387" s="6" t="s">
        <v>1330</v>
      </c>
      <c r="C1387" s="10" t="s">
        <v>135</v>
      </c>
      <c r="D1387" s="126"/>
      <c r="E1387" s="104">
        <v>6900</v>
      </c>
      <c r="F1387" s="104"/>
      <c r="G1387" s="168"/>
    </row>
    <row r="1388" spans="1:7" s="169" customFormat="1">
      <c r="A1388" s="31">
        <f t="shared" si="57"/>
        <v>61</v>
      </c>
      <c r="B1388" s="6" t="s">
        <v>1331</v>
      </c>
      <c r="C1388" s="10" t="s">
        <v>119</v>
      </c>
      <c r="D1388" s="126"/>
      <c r="E1388" s="104">
        <v>132500</v>
      </c>
      <c r="F1388" s="104"/>
      <c r="G1388" s="168"/>
    </row>
    <row r="1389" spans="1:7" s="169" customFormat="1">
      <c r="A1389" s="31">
        <f t="shared" si="57"/>
        <v>62</v>
      </c>
      <c r="B1389" s="6" t="s">
        <v>1332</v>
      </c>
      <c r="C1389" s="10" t="s">
        <v>135</v>
      </c>
      <c r="D1389" s="126"/>
      <c r="E1389" s="104">
        <v>12200</v>
      </c>
      <c r="F1389" s="104"/>
      <c r="G1389" s="168"/>
    </row>
    <row r="1390" spans="1:7" s="169" customFormat="1">
      <c r="A1390" s="31">
        <f t="shared" si="57"/>
        <v>63</v>
      </c>
      <c r="B1390" s="6" t="s">
        <v>1333</v>
      </c>
      <c r="C1390" s="10" t="s">
        <v>119</v>
      </c>
      <c r="D1390" s="126"/>
      <c r="E1390" s="104">
        <v>697500</v>
      </c>
      <c r="F1390" s="104"/>
      <c r="G1390" s="168"/>
    </row>
    <row r="1391" spans="1:7" s="169" customFormat="1">
      <c r="A1391" s="31">
        <f t="shared" si="57"/>
        <v>64</v>
      </c>
      <c r="B1391" s="6" t="s">
        <v>1334</v>
      </c>
      <c r="C1391" s="10" t="s">
        <v>119</v>
      </c>
      <c r="D1391" s="126"/>
      <c r="E1391" s="104">
        <v>731400</v>
      </c>
      <c r="F1391" s="104"/>
      <c r="G1391" s="168"/>
    </row>
    <row r="1392" spans="1:7" s="169" customFormat="1">
      <c r="A1392" s="31">
        <f t="shared" si="57"/>
        <v>65</v>
      </c>
      <c r="B1392" s="6" t="s">
        <v>1335</v>
      </c>
      <c r="C1392" s="10" t="s">
        <v>119</v>
      </c>
      <c r="D1392" s="126"/>
      <c r="E1392" s="104">
        <v>853300</v>
      </c>
      <c r="F1392" s="104"/>
      <c r="G1392" s="168"/>
    </row>
    <row r="1393" spans="1:7" s="169" customFormat="1">
      <c r="A1393" s="31">
        <f t="shared" si="57"/>
        <v>66</v>
      </c>
      <c r="B1393" s="6" t="s">
        <v>1336</v>
      </c>
      <c r="C1393" s="10" t="s">
        <v>119</v>
      </c>
      <c r="D1393" s="126"/>
      <c r="E1393" s="104">
        <v>975200</v>
      </c>
      <c r="F1393" s="104"/>
      <c r="G1393" s="168"/>
    </row>
    <row r="1394" spans="1:7" s="169" customFormat="1">
      <c r="A1394" s="31">
        <f t="shared" si="57"/>
        <v>67</v>
      </c>
      <c r="B1394" s="6" t="s">
        <v>1337</v>
      </c>
      <c r="C1394" s="10" t="s">
        <v>119</v>
      </c>
      <c r="D1394" s="126"/>
      <c r="E1394" s="104">
        <v>298900</v>
      </c>
      <c r="F1394" s="104"/>
      <c r="G1394" s="168"/>
    </row>
    <row r="1395" spans="1:7" s="169" customFormat="1">
      <c r="A1395" s="31">
        <f t="shared" si="57"/>
        <v>68</v>
      </c>
      <c r="B1395" s="6" t="s">
        <v>1338</v>
      </c>
      <c r="C1395" s="10" t="s">
        <v>119</v>
      </c>
      <c r="D1395" s="126"/>
      <c r="E1395" s="104">
        <v>97500</v>
      </c>
      <c r="F1395" s="104"/>
      <c r="G1395" s="168"/>
    </row>
    <row r="1396" spans="1:7" s="169" customFormat="1">
      <c r="A1396" s="31">
        <f t="shared" si="57"/>
        <v>69</v>
      </c>
      <c r="B1396" s="6" t="s">
        <v>1339</v>
      </c>
      <c r="C1396" s="10" t="s">
        <v>119</v>
      </c>
      <c r="D1396" s="126"/>
      <c r="E1396" s="104">
        <v>97500</v>
      </c>
      <c r="F1396" s="104"/>
      <c r="G1396" s="168"/>
    </row>
    <row r="1397" spans="1:7" s="169" customFormat="1">
      <c r="A1397" s="31">
        <f t="shared" si="57"/>
        <v>70</v>
      </c>
      <c r="B1397" s="6" t="s">
        <v>1340</v>
      </c>
      <c r="C1397" s="10" t="s">
        <v>119</v>
      </c>
      <c r="D1397" s="126"/>
      <c r="E1397" s="104">
        <v>164300</v>
      </c>
      <c r="F1397" s="104"/>
      <c r="G1397" s="168"/>
    </row>
    <row r="1398" spans="1:7" s="169" customFormat="1">
      <c r="A1398" s="31">
        <f t="shared" si="57"/>
        <v>71</v>
      </c>
      <c r="B1398" s="6" t="s">
        <v>1341</v>
      </c>
      <c r="C1398" s="10" t="s">
        <v>119</v>
      </c>
      <c r="D1398" s="126"/>
      <c r="E1398" s="104">
        <v>238500</v>
      </c>
      <c r="F1398" s="104"/>
      <c r="G1398" s="168"/>
    </row>
    <row r="1399" spans="1:7" s="169" customFormat="1">
      <c r="A1399" s="31">
        <f t="shared" si="57"/>
        <v>72</v>
      </c>
      <c r="B1399" s="6" t="s">
        <v>1342</v>
      </c>
      <c r="C1399" s="10" t="s">
        <v>119</v>
      </c>
      <c r="D1399" s="126"/>
      <c r="E1399" s="104">
        <v>291500</v>
      </c>
      <c r="F1399" s="104"/>
      <c r="G1399" s="168"/>
    </row>
    <row r="1400" spans="1:7" s="169" customFormat="1">
      <c r="A1400" s="31">
        <f t="shared" si="57"/>
        <v>73</v>
      </c>
      <c r="B1400" s="6" t="s">
        <v>1343</v>
      </c>
      <c r="C1400" s="10" t="s">
        <v>119</v>
      </c>
      <c r="D1400" s="126"/>
      <c r="E1400" s="104">
        <v>443100</v>
      </c>
      <c r="F1400" s="104"/>
      <c r="G1400" s="168"/>
    </row>
    <row r="1401" spans="1:7" s="169" customFormat="1">
      <c r="A1401" s="31">
        <f t="shared" si="57"/>
        <v>74</v>
      </c>
      <c r="B1401" s="6" t="s">
        <v>1344</v>
      </c>
      <c r="C1401" s="10" t="s">
        <v>119</v>
      </c>
      <c r="D1401" s="126"/>
      <c r="E1401" s="104">
        <v>554400</v>
      </c>
      <c r="F1401" s="104"/>
      <c r="G1401" s="168"/>
    </row>
    <row r="1402" spans="1:7" s="169" customFormat="1">
      <c r="A1402" s="31">
        <f t="shared" si="57"/>
        <v>75</v>
      </c>
      <c r="B1402" s="6" t="s">
        <v>1345</v>
      </c>
      <c r="C1402" s="10" t="s">
        <v>119</v>
      </c>
      <c r="D1402" s="126"/>
      <c r="E1402" s="104">
        <v>1445800</v>
      </c>
      <c r="F1402" s="104"/>
      <c r="G1402" s="168"/>
    </row>
    <row r="1403" spans="1:7" s="169" customFormat="1">
      <c r="A1403" s="31">
        <f t="shared" si="57"/>
        <v>76</v>
      </c>
      <c r="B1403" s="23" t="s">
        <v>1346</v>
      </c>
      <c r="C1403" s="10" t="s">
        <v>135</v>
      </c>
      <c r="D1403" s="126"/>
      <c r="E1403" s="104">
        <v>997500</v>
      </c>
      <c r="F1403" s="104"/>
      <c r="G1403" s="168"/>
    </row>
    <row r="1404" spans="1:7" s="169" customFormat="1">
      <c r="A1404" s="31">
        <f t="shared" si="57"/>
        <v>77</v>
      </c>
      <c r="B1404" s="23" t="s">
        <v>1347</v>
      </c>
      <c r="C1404" s="10" t="s">
        <v>135</v>
      </c>
      <c r="D1404" s="126"/>
      <c r="E1404" s="104">
        <v>1773400</v>
      </c>
      <c r="F1404" s="104"/>
      <c r="G1404" s="168"/>
    </row>
    <row r="1405" spans="1:7" s="169" customFormat="1">
      <c r="A1405" s="31">
        <f t="shared" si="57"/>
        <v>78</v>
      </c>
      <c r="B1405" s="23" t="s">
        <v>1348</v>
      </c>
      <c r="C1405" s="10" t="s">
        <v>119</v>
      </c>
      <c r="D1405" s="126"/>
      <c r="E1405" s="104">
        <v>166400</v>
      </c>
      <c r="F1405" s="104"/>
      <c r="G1405" s="168"/>
    </row>
    <row r="1406" spans="1:7" s="169" customFormat="1">
      <c r="A1406" s="31">
        <f t="shared" si="57"/>
        <v>79</v>
      </c>
      <c r="B1406" s="23" t="s">
        <v>1349</v>
      </c>
      <c r="C1406" s="10" t="s">
        <v>119</v>
      </c>
      <c r="D1406" s="126"/>
      <c r="E1406" s="104">
        <v>265000</v>
      </c>
      <c r="F1406" s="104"/>
      <c r="G1406" s="168"/>
    </row>
    <row r="1407" spans="1:7" s="169" customFormat="1">
      <c r="A1407" s="31">
        <f t="shared" si="57"/>
        <v>80</v>
      </c>
      <c r="B1407" s="23" t="s">
        <v>1350</v>
      </c>
      <c r="C1407" s="10" t="s">
        <v>119</v>
      </c>
      <c r="D1407" s="126"/>
      <c r="E1407" s="104">
        <v>328600</v>
      </c>
      <c r="F1407" s="104"/>
      <c r="G1407" s="168"/>
    </row>
    <row r="1408" spans="1:7" s="169" customFormat="1">
      <c r="A1408" s="31">
        <f t="shared" si="57"/>
        <v>81</v>
      </c>
      <c r="B1408" s="6" t="s">
        <v>1351</v>
      </c>
      <c r="C1408" s="10" t="s">
        <v>135</v>
      </c>
      <c r="D1408" s="126"/>
      <c r="E1408" s="104">
        <v>4200</v>
      </c>
      <c r="F1408" s="104"/>
      <c r="G1408" s="168"/>
    </row>
    <row r="1409" spans="1:7" s="169" customFormat="1">
      <c r="A1409" s="32">
        <f t="shared" si="57"/>
        <v>82</v>
      </c>
      <c r="B1409" s="7" t="s">
        <v>1352</v>
      </c>
      <c r="C1409" s="33" t="s">
        <v>135</v>
      </c>
      <c r="D1409" s="130"/>
      <c r="E1409" s="106">
        <v>11700</v>
      </c>
      <c r="F1409" s="106"/>
      <c r="G1409" s="168"/>
    </row>
    <row r="1410" spans="1:7" s="169" customFormat="1">
      <c r="A1410" s="34"/>
      <c r="B1410" s="76" t="s">
        <v>1353</v>
      </c>
      <c r="C1410" s="35"/>
      <c r="D1410" s="125"/>
      <c r="E1410" s="108"/>
      <c r="F1410" s="108"/>
      <c r="G1410" s="168"/>
    </row>
    <row r="1411" spans="1:7" s="169" customFormat="1">
      <c r="A1411" s="31">
        <f>+A1409+1</f>
        <v>83</v>
      </c>
      <c r="B1411" s="6" t="s">
        <v>1354</v>
      </c>
      <c r="C1411" s="10" t="s">
        <v>78</v>
      </c>
      <c r="D1411" s="126"/>
      <c r="E1411" s="164">
        <v>79700</v>
      </c>
      <c r="F1411" s="104"/>
      <c r="G1411" s="168"/>
    </row>
    <row r="1412" spans="1:7" s="169" customFormat="1">
      <c r="A1412" s="31">
        <f t="shared" si="57"/>
        <v>84</v>
      </c>
      <c r="B1412" s="6" t="s">
        <v>1355</v>
      </c>
      <c r="C1412" s="10" t="s">
        <v>78</v>
      </c>
      <c r="D1412" s="126"/>
      <c r="E1412" s="164">
        <v>79700</v>
      </c>
      <c r="F1412" s="104"/>
      <c r="G1412" s="168"/>
    </row>
    <row r="1413" spans="1:7" s="169" customFormat="1">
      <c r="A1413" s="31">
        <f t="shared" si="57"/>
        <v>85</v>
      </c>
      <c r="B1413" s="6" t="s">
        <v>1356</v>
      </c>
      <c r="C1413" s="10" t="s">
        <v>1066</v>
      </c>
      <c r="D1413" s="126"/>
      <c r="E1413" s="104">
        <v>17500</v>
      </c>
      <c r="F1413" s="104"/>
      <c r="G1413" s="168"/>
    </row>
    <row r="1414" spans="1:7" s="169" customFormat="1">
      <c r="A1414" s="31">
        <f t="shared" si="57"/>
        <v>86</v>
      </c>
      <c r="B1414" s="6" t="s">
        <v>1357</v>
      </c>
      <c r="C1414" s="10" t="s">
        <v>1066</v>
      </c>
      <c r="D1414" s="126"/>
      <c r="E1414" s="164">
        <v>22800</v>
      </c>
      <c r="F1414" s="104"/>
      <c r="G1414" s="168"/>
    </row>
    <row r="1415" spans="1:7" s="169" customFormat="1">
      <c r="A1415" s="31">
        <f t="shared" si="57"/>
        <v>87</v>
      </c>
      <c r="B1415" s="6" t="s">
        <v>1358</v>
      </c>
      <c r="C1415" s="10" t="s">
        <v>1066</v>
      </c>
      <c r="D1415" s="126"/>
      <c r="E1415" s="164">
        <v>94900</v>
      </c>
      <c r="F1415" s="104"/>
      <c r="G1415" s="168"/>
    </row>
    <row r="1416" spans="1:7" s="169" customFormat="1">
      <c r="A1416" s="31">
        <f t="shared" si="57"/>
        <v>88</v>
      </c>
      <c r="B1416" s="6" t="s">
        <v>1359</v>
      </c>
      <c r="C1416" s="10" t="s">
        <v>1066</v>
      </c>
      <c r="D1416" s="126"/>
      <c r="E1416" s="164">
        <v>76300</v>
      </c>
      <c r="F1416" s="104"/>
      <c r="G1416" s="168"/>
    </row>
    <row r="1417" spans="1:7" s="169" customFormat="1">
      <c r="A1417" s="31">
        <f t="shared" si="57"/>
        <v>89</v>
      </c>
      <c r="B1417" s="6" t="s">
        <v>1360</v>
      </c>
      <c r="C1417" s="10" t="s">
        <v>1066</v>
      </c>
      <c r="D1417" s="126"/>
      <c r="E1417" s="164">
        <v>109200</v>
      </c>
      <c r="F1417" s="104"/>
      <c r="G1417" s="168"/>
    </row>
    <row r="1418" spans="1:7" s="169" customFormat="1">
      <c r="A1418" s="31">
        <f t="shared" si="57"/>
        <v>90</v>
      </c>
      <c r="B1418" s="6" t="s">
        <v>1361</v>
      </c>
      <c r="C1418" s="10" t="s">
        <v>1066</v>
      </c>
      <c r="D1418" s="126"/>
      <c r="E1418" s="164">
        <v>121900</v>
      </c>
      <c r="F1418" s="104"/>
      <c r="G1418" s="168"/>
    </row>
    <row r="1419" spans="1:7" s="169" customFormat="1">
      <c r="A1419" s="31">
        <f t="shared" si="57"/>
        <v>91</v>
      </c>
      <c r="B1419" s="6" t="s">
        <v>1362</v>
      </c>
      <c r="C1419" s="10" t="s">
        <v>1066</v>
      </c>
      <c r="D1419" s="126"/>
      <c r="E1419" s="164">
        <v>149500</v>
      </c>
      <c r="F1419" s="104"/>
      <c r="G1419" s="168"/>
    </row>
    <row r="1420" spans="1:7" s="169" customFormat="1">
      <c r="A1420" s="31">
        <f t="shared" si="57"/>
        <v>92</v>
      </c>
      <c r="B1420" s="6" t="s">
        <v>1363</v>
      </c>
      <c r="C1420" s="10" t="s">
        <v>1066</v>
      </c>
      <c r="D1420" s="126"/>
      <c r="E1420" s="164">
        <v>304800</v>
      </c>
      <c r="F1420" s="104"/>
      <c r="G1420" s="168"/>
    </row>
    <row r="1421" spans="1:7" s="169" customFormat="1">
      <c r="A1421" s="31">
        <f t="shared" si="57"/>
        <v>93</v>
      </c>
      <c r="B1421" s="6" t="s">
        <v>1364</v>
      </c>
      <c r="C1421" s="10" t="s">
        <v>1066</v>
      </c>
      <c r="D1421" s="126"/>
      <c r="E1421" s="164">
        <v>353500</v>
      </c>
      <c r="F1421" s="104"/>
      <c r="G1421" s="168"/>
    </row>
    <row r="1422" spans="1:7" s="169" customFormat="1">
      <c r="A1422" s="31">
        <f t="shared" si="57"/>
        <v>94</v>
      </c>
      <c r="B1422" s="6" t="s">
        <v>1365</v>
      </c>
      <c r="C1422" s="10" t="s">
        <v>1066</v>
      </c>
      <c r="D1422" s="126"/>
      <c r="E1422" s="164">
        <v>744100</v>
      </c>
      <c r="F1422" s="104"/>
      <c r="G1422" s="168"/>
    </row>
    <row r="1423" spans="1:7" s="169" customFormat="1">
      <c r="A1423" s="31">
        <f t="shared" si="57"/>
        <v>95</v>
      </c>
      <c r="B1423" s="6" t="s">
        <v>1366</v>
      </c>
      <c r="C1423" s="10" t="s">
        <v>1066</v>
      </c>
      <c r="D1423" s="126"/>
      <c r="E1423" s="164">
        <v>91700</v>
      </c>
      <c r="F1423" s="104"/>
      <c r="G1423" s="168"/>
    </row>
    <row r="1424" spans="1:7" s="169" customFormat="1">
      <c r="A1424" s="31">
        <f t="shared" si="57"/>
        <v>96</v>
      </c>
      <c r="B1424" s="6" t="s">
        <v>1367</v>
      </c>
      <c r="C1424" s="10" t="s">
        <v>1066</v>
      </c>
      <c r="D1424" s="126"/>
      <c r="E1424" s="164">
        <v>42700</v>
      </c>
      <c r="F1424" s="104"/>
      <c r="G1424" s="168"/>
    </row>
    <row r="1425" spans="1:7" s="169" customFormat="1">
      <c r="A1425" s="32">
        <f t="shared" si="57"/>
        <v>97</v>
      </c>
      <c r="B1425" s="7" t="s">
        <v>1368</v>
      </c>
      <c r="C1425" s="33" t="s">
        <v>78</v>
      </c>
      <c r="D1425" s="130"/>
      <c r="E1425" s="106">
        <v>288300</v>
      </c>
      <c r="F1425" s="106"/>
      <c r="G1425" s="168"/>
    </row>
    <row r="1426" spans="1:7" s="169" customFormat="1" ht="39.6" customHeight="1">
      <c r="A1426" s="34"/>
      <c r="B1426" s="213" t="s">
        <v>1369</v>
      </c>
      <c r="C1426" s="213"/>
      <c r="D1426" s="213"/>
      <c r="E1426" s="213"/>
      <c r="F1426" s="213"/>
      <c r="G1426" s="168"/>
    </row>
    <row r="1427" spans="1:7" s="169" customFormat="1">
      <c r="A1427" s="31">
        <v>1</v>
      </c>
      <c r="B1427" s="6" t="s">
        <v>1370</v>
      </c>
      <c r="C1427" s="10" t="s">
        <v>1066</v>
      </c>
      <c r="D1427" s="126"/>
      <c r="E1427" s="165">
        <v>2600</v>
      </c>
      <c r="F1427" s="165"/>
      <c r="G1427" s="168"/>
    </row>
    <row r="1428" spans="1:7" s="169" customFormat="1">
      <c r="A1428" s="31">
        <f t="shared" si="57"/>
        <v>2</v>
      </c>
      <c r="B1428" s="6" t="s">
        <v>1371</v>
      </c>
      <c r="C1428" s="10" t="s">
        <v>1066</v>
      </c>
      <c r="D1428" s="126"/>
      <c r="E1428" s="165">
        <v>4880</v>
      </c>
      <c r="F1428" s="165"/>
      <c r="G1428" s="168"/>
    </row>
    <row r="1429" spans="1:7" s="169" customFormat="1">
      <c r="A1429" s="31">
        <f t="shared" si="57"/>
        <v>3</v>
      </c>
      <c r="B1429" s="6" t="s">
        <v>1372</v>
      </c>
      <c r="C1429" s="10" t="s">
        <v>1066</v>
      </c>
      <c r="D1429" s="126"/>
      <c r="E1429" s="165">
        <v>7100</v>
      </c>
      <c r="F1429" s="165"/>
      <c r="G1429" s="168"/>
    </row>
    <row r="1430" spans="1:7" s="169" customFormat="1">
      <c r="A1430" s="31">
        <f t="shared" si="57"/>
        <v>4</v>
      </c>
      <c r="B1430" s="6" t="s">
        <v>1373</v>
      </c>
      <c r="C1430" s="10" t="s">
        <v>1066</v>
      </c>
      <c r="D1430" s="126"/>
      <c r="E1430" s="165">
        <v>16300</v>
      </c>
      <c r="F1430" s="165"/>
      <c r="G1430" s="168"/>
    </row>
    <row r="1431" spans="1:7" s="169" customFormat="1">
      <c r="A1431" s="31">
        <f t="shared" si="57"/>
        <v>5</v>
      </c>
      <c r="B1431" s="6" t="s">
        <v>1374</v>
      </c>
      <c r="C1431" s="10" t="s">
        <v>1066</v>
      </c>
      <c r="D1431" s="126"/>
      <c r="E1431" s="165">
        <v>2900</v>
      </c>
      <c r="F1431" s="165"/>
      <c r="G1431" s="168"/>
    </row>
    <row r="1432" spans="1:7" s="169" customFormat="1">
      <c r="A1432" s="31">
        <f t="shared" si="57"/>
        <v>6</v>
      </c>
      <c r="B1432" s="6" t="s">
        <v>1375</v>
      </c>
      <c r="C1432" s="10" t="s">
        <v>1066</v>
      </c>
      <c r="D1432" s="126"/>
      <c r="E1432" s="165">
        <v>4100</v>
      </c>
      <c r="F1432" s="165"/>
      <c r="G1432" s="168"/>
    </row>
    <row r="1433" spans="1:7" s="169" customFormat="1">
      <c r="A1433" s="31">
        <f t="shared" si="57"/>
        <v>7</v>
      </c>
      <c r="B1433" s="6" t="s">
        <v>1376</v>
      </c>
      <c r="C1433" s="10" t="s">
        <v>1066</v>
      </c>
      <c r="D1433" s="126"/>
      <c r="E1433" s="104">
        <v>5300</v>
      </c>
      <c r="F1433" s="104"/>
      <c r="G1433" s="168"/>
    </row>
    <row r="1434" spans="1:7" s="169" customFormat="1">
      <c r="A1434" s="31">
        <f t="shared" si="57"/>
        <v>8</v>
      </c>
      <c r="B1434" s="6" t="s">
        <v>1377</v>
      </c>
      <c r="C1434" s="10" t="s">
        <v>1066</v>
      </c>
      <c r="D1434" s="126"/>
      <c r="E1434" s="104">
        <v>7800</v>
      </c>
      <c r="F1434" s="104"/>
      <c r="G1434" s="168"/>
    </row>
    <row r="1435" spans="1:7" s="169" customFormat="1">
      <c r="A1435" s="31">
        <f t="shared" si="57"/>
        <v>9</v>
      </c>
      <c r="B1435" s="96" t="s">
        <v>1378</v>
      </c>
      <c r="C1435" s="10" t="s">
        <v>1066</v>
      </c>
      <c r="D1435" s="126"/>
      <c r="E1435" s="165">
        <v>2700</v>
      </c>
      <c r="F1435" s="165"/>
      <c r="G1435" s="168"/>
    </row>
    <row r="1436" spans="1:7" s="169" customFormat="1">
      <c r="A1436" s="31">
        <f t="shared" si="57"/>
        <v>10</v>
      </c>
      <c r="B1436" s="96" t="s">
        <v>1379</v>
      </c>
      <c r="C1436" s="10" t="s">
        <v>1066</v>
      </c>
      <c r="D1436" s="126"/>
      <c r="E1436" s="165">
        <v>3500</v>
      </c>
      <c r="F1436" s="165"/>
      <c r="G1436" s="168"/>
    </row>
    <row r="1437" spans="1:7" s="169" customFormat="1">
      <c r="A1437" s="31">
        <f t="shared" si="57"/>
        <v>11</v>
      </c>
      <c r="B1437" s="96" t="s">
        <v>1380</v>
      </c>
      <c r="C1437" s="10" t="s">
        <v>1066</v>
      </c>
      <c r="D1437" s="126"/>
      <c r="E1437" s="165">
        <v>5000</v>
      </c>
      <c r="F1437" s="165"/>
      <c r="G1437" s="168"/>
    </row>
    <row r="1438" spans="1:7" s="169" customFormat="1">
      <c r="A1438" s="31">
        <f t="shared" si="57"/>
        <v>12</v>
      </c>
      <c r="B1438" s="96" t="s">
        <v>1381</v>
      </c>
      <c r="C1438" s="10" t="s">
        <v>1066</v>
      </c>
      <c r="D1438" s="126"/>
      <c r="E1438" s="165">
        <v>6000</v>
      </c>
      <c r="F1438" s="165"/>
      <c r="G1438" s="168"/>
    </row>
    <row r="1439" spans="1:7" s="169" customFormat="1">
      <c r="A1439" s="31">
        <f t="shared" si="57"/>
        <v>13</v>
      </c>
      <c r="B1439" s="96" t="s">
        <v>1382</v>
      </c>
      <c r="C1439" s="10" t="s">
        <v>1066</v>
      </c>
      <c r="D1439" s="126"/>
      <c r="E1439" s="165">
        <v>7600</v>
      </c>
      <c r="F1439" s="165"/>
      <c r="G1439" s="168"/>
    </row>
    <row r="1440" spans="1:7" s="169" customFormat="1">
      <c r="A1440" s="31">
        <f t="shared" si="57"/>
        <v>14</v>
      </c>
      <c r="B1440" s="96" t="s">
        <v>1383</v>
      </c>
      <c r="C1440" s="10" t="s">
        <v>1066</v>
      </c>
      <c r="D1440" s="126"/>
      <c r="E1440" s="165">
        <v>9500</v>
      </c>
      <c r="F1440" s="165"/>
      <c r="G1440" s="168"/>
    </row>
    <row r="1441" spans="1:7" s="169" customFormat="1">
      <c r="A1441" s="31">
        <f t="shared" si="57"/>
        <v>15</v>
      </c>
      <c r="B1441" s="96" t="s">
        <v>1384</v>
      </c>
      <c r="C1441" s="10" t="s">
        <v>1066</v>
      </c>
      <c r="D1441" s="126"/>
      <c r="E1441" s="165">
        <v>12000</v>
      </c>
      <c r="F1441" s="165"/>
      <c r="G1441" s="168"/>
    </row>
    <row r="1442" spans="1:7" s="169" customFormat="1">
      <c r="A1442" s="32">
        <f t="shared" si="57"/>
        <v>16</v>
      </c>
      <c r="B1442" s="97" t="s">
        <v>1385</v>
      </c>
      <c r="C1442" s="33" t="s">
        <v>1066</v>
      </c>
      <c r="D1442" s="130"/>
      <c r="E1442" s="166">
        <v>14000</v>
      </c>
      <c r="F1442" s="166"/>
      <c r="G1442" s="168"/>
    </row>
    <row r="1443" spans="1:7" s="169" customFormat="1" ht="36.6" customHeight="1">
      <c r="A1443" s="34"/>
      <c r="B1443" s="213" t="s">
        <v>1386</v>
      </c>
      <c r="C1443" s="213"/>
      <c r="D1443" s="213"/>
      <c r="E1443" s="213"/>
      <c r="F1443" s="213"/>
      <c r="G1443" s="168"/>
    </row>
    <row r="1444" spans="1:7" s="169" customFormat="1">
      <c r="A1444" s="31">
        <v>1</v>
      </c>
      <c r="B1444" s="6" t="s">
        <v>1387</v>
      </c>
      <c r="C1444" s="10" t="s">
        <v>1066</v>
      </c>
      <c r="D1444" s="165">
        <v>3137</v>
      </c>
      <c r="E1444" s="165"/>
      <c r="F1444" s="165"/>
      <c r="G1444" s="168"/>
    </row>
    <row r="1445" spans="1:7" s="169" customFormat="1">
      <c r="A1445" s="31">
        <f t="shared" ref="A1445:A1499" si="58">+A1444+1</f>
        <v>2</v>
      </c>
      <c r="B1445" s="6" t="s">
        <v>1388</v>
      </c>
      <c r="C1445" s="10" t="s">
        <v>1066</v>
      </c>
      <c r="D1445" s="165">
        <v>5848</v>
      </c>
      <c r="E1445" s="165"/>
      <c r="F1445" s="165"/>
      <c r="G1445" s="168"/>
    </row>
    <row r="1446" spans="1:7" s="169" customFormat="1">
      <c r="A1446" s="31">
        <f t="shared" si="58"/>
        <v>3</v>
      </c>
      <c r="B1446" s="6" t="s">
        <v>1389</v>
      </c>
      <c r="C1446" s="10" t="s">
        <v>1066</v>
      </c>
      <c r="D1446" s="165">
        <v>8659</v>
      </c>
      <c r="E1446" s="165"/>
      <c r="F1446" s="165"/>
      <c r="G1446" s="168"/>
    </row>
    <row r="1447" spans="1:7" s="169" customFormat="1">
      <c r="A1447" s="31">
        <f t="shared" si="58"/>
        <v>4</v>
      </c>
      <c r="B1447" s="6" t="s">
        <v>1390</v>
      </c>
      <c r="C1447" s="10" t="s">
        <v>1066</v>
      </c>
      <c r="D1447" s="165">
        <v>11489</v>
      </c>
      <c r="E1447" s="165"/>
      <c r="F1447" s="165"/>
      <c r="G1447" s="168"/>
    </row>
    <row r="1448" spans="1:7" s="169" customFormat="1">
      <c r="A1448" s="31">
        <f t="shared" si="58"/>
        <v>5</v>
      </c>
      <c r="B1448" s="6" t="s">
        <v>1391</v>
      </c>
      <c r="C1448" s="10" t="s">
        <v>1066</v>
      </c>
      <c r="D1448" s="165">
        <v>14191</v>
      </c>
      <c r="E1448" s="165"/>
      <c r="F1448" s="165"/>
      <c r="G1448" s="168"/>
    </row>
    <row r="1449" spans="1:7" s="169" customFormat="1">
      <c r="A1449" s="31">
        <f t="shared" si="58"/>
        <v>6</v>
      </c>
      <c r="B1449" s="6" t="s">
        <v>1392</v>
      </c>
      <c r="C1449" s="10" t="s">
        <v>1066</v>
      </c>
      <c r="D1449" s="165">
        <v>90485</v>
      </c>
      <c r="E1449" s="165"/>
      <c r="F1449" s="165"/>
      <c r="G1449" s="168"/>
    </row>
    <row r="1450" spans="1:7" s="169" customFormat="1">
      <c r="A1450" s="31">
        <f t="shared" si="58"/>
        <v>7</v>
      </c>
      <c r="B1450" s="6" t="s">
        <v>1393</v>
      </c>
      <c r="C1450" s="10" t="s">
        <v>1066</v>
      </c>
      <c r="D1450" s="165">
        <v>90098</v>
      </c>
      <c r="E1450" s="165"/>
      <c r="F1450" s="165"/>
      <c r="G1450" s="168"/>
    </row>
    <row r="1451" spans="1:7" s="169" customFormat="1">
      <c r="A1451" s="31">
        <f t="shared" si="58"/>
        <v>8</v>
      </c>
      <c r="B1451" s="6" t="s">
        <v>1394</v>
      </c>
      <c r="C1451" s="10" t="s">
        <v>1066</v>
      </c>
      <c r="D1451" s="165">
        <v>89999</v>
      </c>
      <c r="E1451" s="165"/>
      <c r="F1451" s="165"/>
      <c r="G1451" s="168"/>
    </row>
    <row r="1452" spans="1:7" s="169" customFormat="1">
      <c r="A1452" s="31">
        <f t="shared" si="58"/>
        <v>9</v>
      </c>
      <c r="B1452" s="6" t="s">
        <v>1395</v>
      </c>
      <c r="C1452" s="10" t="s">
        <v>1066</v>
      </c>
      <c r="D1452" s="165">
        <v>94101</v>
      </c>
      <c r="E1452" s="165"/>
      <c r="F1452" s="165"/>
      <c r="G1452" s="168"/>
    </row>
    <row r="1453" spans="1:7" s="169" customFormat="1">
      <c r="A1453" s="31">
        <f t="shared" si="58"/>
        <v>10</v>
      </c>
      <c r="B1453" s="6" t="s">
        <v>1396</v>
      </c>
      <c r="C1453" s="10" t="s">
        <v>1066</v>
      </c>
      <c r="D1453" s="165">
        <v>87875</v>
      </c>
      <c r="E1453" s="165"/>
      <c r="F1453" s="165"/>
      <c r="G1453" s="168"/>
    </row>
    <row r="1454" spans="1:7" s="169" customFormat="1">
      <c r="A1454" s="31">
        <f t="shared" si="58"/>
        <v>11</v>
      </c>
      <c r="B1454" s="6" t="s">
        <v>1397</v>
      </c>
      <c r="C1454" s="10" t="s">
        <v>1066</v>
      </c>
      <c r="D1454" s="165">
        <v>95626</v>
      </c>
      <c r="E1454" s="165"/>
      <c r="F1454" s="165"/>
      <c r="G1454" s="168"/>
    </row>
    <row r="1455" spans="1:7" s="169" customFormat="1">
      <c r="A1455" s="31">
        <f t="shared" si="58"/>
        <v>12</v>
      </c>
      <c r="B1455" s="6" t="s">
        <v>1398</v>
      </c>
      <c r="C1455" s="10" t="s">
        <v>1066</v>
      </c>
      <c r="D1455" s="165">
        <v>17907</v>
      </c>
      <c r="E1455" s="165"/>
      <c r="F1455" s="165"/>
      <c r="G1455" s="168"/>
    </row>
    <row r="1456" spans="1:7" s="169" customFormat="1">
      <c r="A1456" s="31">
        <f t="shared" si="58"/>
        <v>13</v>
      </c>
      <c r="B1456" s="6" t="s">
        <v>1399</v>
      </c>
      <c r="C1456" s="10" t="s">
        <v>1066</v>
      </c>
      <c r="D1456" s="165">
        <v>24429</v>
      </c>
      <c r="E1456" s="165"/>
      <c r="F1456" s="165"/>
      <c r="G1456" s="168"/>
    </row>
    <row r="1457" spans="1:7" s="169" customFormat="1">
      <c r="A1457" s="31">
        <f>+A1456+1</f>
        <v>14</v>
      </c>
      <c r="B1457" s="6" t="s">
        <v>1400</v>
      </c>
      <c r="C1457" s="10" t="s">
        <v>1066</v>
      </c>
      <c r="D1457" s="165">
        <v>41723</v>
      </c>
      <c r="E1457" s="165"/>
      <c r="F1457" s="165"/>
      <c r="G1457" s="168"/>
    </row>
    <row r="1458" spans="1:7" s="169" customFormat="1">
      <c r="A1458" s="31">
        <f t="shared" si="58"/>
        <v>15</v>
      </c>
      <c r="B1458" s="6" t="s">
        <v>1401</v>
      </c>
      <c r="C1458" s="10" t="s">
        <v>1066</v>
      </c>
      <c r="D1458" s="165">
        <v>23075</v>
      </c>
      <c r="E1458" s="165"/>
      <c r="F1458" s="165"/>
      <c r="G1458" s="168"/>
    </row>
    <row r="1459" spans="1:7" s="169" customFormat="1">
      <c r="A1459" s="31">
        <f t="shared" si="58"/>
        <v>16</v>
      </c>
      <c r="B1459" s="6" t="s">
        <v>1402</v>
      </c>
      <c r="C1459" s="10" t="s">
        <v>1066</v>
      </c>
      <c r="D1459" s="165">
        <v>31541</v>
      </c>
      <c r="E1459" s="165"/>
      <c r="F1459" s="165"/>
      <c r="G1459" s="168"/>
    </row>
    <row r="1460" spans="1:7" s="169" customFormat="1" ht="27">
      <c r="A1460" s="31">
        <f>+A1459+1</f>
        <v>17</v>
      </c>
      <c r="B1460" s="6" t="s">
        <v>1403</v>
      </c>
      <c r="C1460" s="10" t="s">
        <v>1066</v>
      </c>
      <c r="D1460" s="165">
        <v>52777</v>
      </c>
      <c r="E1460" s="165"/>
      <c r="F1460" s="165"/>
      <c r="G1460" s="168"/>
    </row>
    <row r="1461" spans="1:7" s="169" customFormat="1">
      <c r="A1461" s="31">
        <f t="shared" si="58"/>
        <v>18</v>
      </c>
      <c r="B1461" s="6" t="s">
        <v>1404</v>
      </c>
      <c r="C1461" s="10" t="s">
        <v>1066</v>
      </c>
      <c r="D1461" s="165">
        <v>23004</v>
      </c>
      <c r="E1461" s="165"/>
      <c r="F1461" s="165"/>
      <c r="G1461" s="168"/>
    </row>
    <row r="1462" spans="1:7" s="169" customFormat="1">
      <c r="A1462" s="31">
        <f t="shared" si="58"/>
        <v>19</v>
      </c>
      <c r="B1462" s="6" t="s">
        <v>1405</v>
      </c>
      <c r="C1462" s="10" t="s">
        <v>1066</v>
      </c>
      <c r="D1462" s="165">
        <v>26819</v>
      </c>
      <c r="E1462" s="165"/>
      <c r="F1462" s="165"/>
      <c r="G1462" s="168"/>
    </row>
    <row r="1463" spans="1:7" s="169" customFormat="1">
      <c r="A1463" s="31">
        <f t="shared" si="58"/>
        <v>20</v>
      </c>
      <c r="B1463" s="6" t="s">
        <v>1406</v>
      </c>
      <c r="C1463" s="10" t="s">
        <v>1066</v>
      </c>
      <c r="D1463" s="165">
        <v>37041</v>
      </c>
      <c r="E1463" s="165"/>
      <c r="F1463" s="165"/>
      <c r="G1463" s="168"/>
    </row>
    <row r="1464" spans="1:7" s="169" customFormat="1">
      <c r="A1464" s="31">
        <f t="shared" si="58"/>
        <v>21</v>
      </c>
      <c r="B1464" s="6" t="s">
        <v>1407</v>
      </c>
      <c r="C1464" s="10" t="s">
        <v>1066</v>
      </c>
      <c r="D1464" s="165">
        <v>50901</v>
      </c>
      <c r="E1464" s="165"/>
      <c r="F1464" s="165"/>
      <c r="G1464" s="168"/>
    </row>
    <row r="1465" spans="1:7" s="169" customFormat="1">
      <c r="A1465" s="31">
        <f>+A1464+1</f>
        <v>22</v>
      </c>
      <c r="B1465" s="6" t="s">
        <v>1408</v>
      </c>
      <c r="C1465" s="10" t="s">
        <v>1066</v>
      </c>
      <c r="D1465" s="165">
        <v>73922</v>
      </c>
      <c r="E1465" s="165"/>
      <c r="F1465" s="165"/>
      <c r="G1465" s="168"/>
    </row>
    <row r="1466" spans="1:7" s="169" customFormat="1">
      <c r="A1466" s="32">
        <f t="shared" si="58"/>
        <v>23</v>
      </c>
      <c r="B1466" s="7" t="s">
        <v>1409</v>
      </c>
      <c r="C1466" s="33" t="s">
        <v>1066</v>
      </c>
      <c r="D1466" s="165">
        <v>135898</v>
      </c>
      <c r="E1466" s="166"/>
      <c r="F1466" s="166"/>
      <c r="G1466" s="168"/>
    </row>
    <row r="1467" spans="1:7" s="169" customFormat="1" ht="37.5" customHeight="1">
      <c r="A1467" s="34"/>
      <c r="B1467" s="213" t="s">
        <v>1410</v>
      </c>
      <c r="C1467" s="213"/>
      <c r="D1467" s="213"/>
      <c r="E1467" s="213"/>
      <c r="F1467" s="213"/>
      <c r="G1467" s="168"/>
    </row>
    <row r="1468" spans="1:7" s="169" customFormat="1">
      <c r="A1468" s="31">
        <v>1</v>
      </c>
      <c r="B1468" s="98" t="s">
        <v>1411</v>
      </c>
      <c r="C1468" s="10" t="s">
        <v>398</v>
      </c>
      <c r="D1468" s="126"/>
      <c r="E1468" s="165">
        <v>199000</v>
      </c>
      <c r="F1468" s="104"/>
      <c r="G1468" s="168"/>
    </row>
    <row r="1469" spans="1:7" s="169" customFormat="1">
      <c r="A1469" s="31">
        <f t="shared" si="58"/>
        <v>2</v>
      </c>
      <c r="B1469" s="98" t="s">
        <v>1412</v>
      </c>
      <c r="C1469" s="10" t="s">
        <v>398</v>
      </c>
      <c r="D1469" s="126"/>
      <c r="E1469" s="165">
        <v>261000</v>
      </c>
      <c r="F1469" s="104"/>
      <c r="G1469" s="168"/>
    </row>
    <row r="1470" spans="1:7" s="169" customFormat="1">
      <c r="A1470" s="31">
        <f t="shared" si="58"/>
        <v>3</v>
      </c>
      <c r="B1470" s="98" t="s">
        <v>1413</v>
      </c>
      <c r="C1470" s="10" t="s">
        <v>398</v>
      </c>
      <c r="D1470" s="126"/>
      <c r="E1470" s="165">
        <v>219000</v>
      </c>
      <c r="F1470" s="104"/>
      <c r="G1470" s="168"/>
    </row>
    <row r="1471" spans="1:7" s="169" customFormat="1">
      <c r="A1471" s="32">
        <f t="shared" si="58"/>
        <v>4</v>
      </c>
      <c r="B1471" s="99" t="s">
        <v>1414</v>
      </c>
      <c r="C1471" s="33" t="s">
        <v>398</v>
      </c>
      <c r="D1471" s="130"/>
      <c r="E1471" s="166">
        <v>348000</v>
      </c>
      <c r="F1471" s="106"/>
      <c r="G1471" s="168"/>
    </row>
    <row r="1472" spans="1:7" s="169" customFormat="1" ht="33.6" customHeight="1">
      <c r="A1472" s="34"/>
      <c r="B1472" s="213" t="s">
        <v>1415</v>
      </c>
      <c r="C1472" s="213"/>
      <c r="D1472" s="213"/>
      <c r="E1472" s="213"/>
      <c r="F1472" s="213"/>
      <c r="G1472" s="168"/>
    </row>
    <row r="1473" spans="1:7" s="169" customFormat="1">
      <c r="A1473" s="31">
        <v>1</v>
      </c>
      <c r="B1473" s="98" t="s">
        <v>1416</v>
      </c>
      <c r="C1473" s="10" t="s">
        <v>1417</v>
      </c>
      <c r="D1473" s="126"/>
      <c r="E1473" s="165">
        <v>55000</v>
      </c>
      <c r="F1473" s="104"/>
      <c r="G1473" s="168"/>
    </row>
    <row r="1474" spans="1:7" s="169" customFormat="1">
      <c r="A1474" s="31">
        <f t="shared" si="58"/>
        <v>2</v>
      </c>
      <c r="B1474" s="98" t="s">
        <v>1418</v>
      </c>
      <c r="C1474" s="10" t="s">
        <v>1417</v>
      </c>
      <c r="D1474" s="126"/>
      <c r="E1474" s="165">
        <v>63000</v>
      </c>
      <c r="F1474" s="104"/>
      <c r="G1474" s="168"/>
    </row>
    <row r="1475" spans="1:7" s="169" customFormat="1">
      <c r="A1475" s="32">
        <f t="shared" si="58"/>
        <v>3</v>
      </c>
      <c r="B1475" s="99" t="s">
        <v>1419</v>
      </c>
      <c r="C1475" s="33" t="s">
        <v>1417</v>
      </c>
      <c r="D1475" s="130"/>
      <c r="E1475" s="166">
        <v>89000</v>
      </c>
      <c r="F1475" s="106"/>
      <c r="G1475" s="168"/>
    </row>
    <row r="1476" spans="1:7" s="169" customFormat="1" ht="37.5" customHeight="1">
      <c r="A1476" s="34"/>
      <c r="B1476" s="213" t="s">
        <v>1420</v>
      </c>
      <c r="C1476" s="213"/>
      <c r="D1476" s="213"/>
      <c r="E1476" s="213"/>
      <c r="F1476" s="213"/>
      <c r="G1476" s="168"/>
    </row>
    <row r="1477" spans="1:7" s="169" customFormat="1">
      <c r="A1477" s="31">
        <v>1</v>
      </c>
      <c r="B1477" s="98" t="s">
        <v>1421</v>
      </c>
      <c r="C1477" s="10" t="s">
        <v>135</v>
      </c>
      <c r="D1477" s="126"/>
      <c r="E1477" s="165">
        <v>17000</v>
      </c>
      <c r="F1477" s="104"/>
      <c r="G1477" s="168"/>
    </row>
    <row r="1478" spans="1:7" s="169" customFormat="1">
      <c r="A1478" s="31">
        <f t="shared" si="58"/>
        <v>2</v>
      </c>
      <c r="B1478" s="98" t="s">
        <v>1422</v>
      </c>
      <c r="C1478" s="10" t="s">
        <v>135</v>
      </c>
      <c r="D1478" s="126"/>
      <c r="E1478" s="165">
        <v>38000</v>
      </c>
      <c r="F1478" s="104"/>
      <c r="G1478" s="168"/>
    </row>
    <row r="1479" spans="1:7" s="169" customFormat="1">
      <c r="A1479" s="31">
        <f>+A1478+1</f>
        <v>3</v>
      </c>
      <c r="B1479" s="98" t="s">
        <v>1423</v>
      </c>
      <c r="C1479" s="10" t="s">
        <v>135</v>
      </c>
      <c r="D1479" s="126"/>
      <c r="E1479" s="165">
        <v>215000</v>
      </c>
      <c r="F1479" s="104"/>
      <c r="G1479" s="168"/>
    </row>
    <row r="1480" spans="1:7" s="169" customFormat="1">
      <c r="A1480" s="31">
        <f t="shared" ref="A1480:A1486" si="59">+A1479+1</f>
        <v>4</v>
      </c>
      <c r="B1480" s="98" t="s">
        <v>1424</v>
      </c>
      <c r="C1480" s="10" t="s">
        <v>135</v>
      </c>
      <c r="D1480" s="126"/>
      <c r="E1480" s="165">
        <v>34000</v>
      </c>
      <c r="F1480" s="104"/>
      <c r="G1480" s="168"/>
    </row>
    <row r="1481" spans="1:7" s="169" customFormat="1">
      <c r="A1481" s="31">
        <f t="shared" si="59"/>
        <v>5</v>
      </c>
      <c r="B1481" s="98" t="s">
        <v>1425</v>
      </c>
      <c r="C1481" s="10" t="s">
        <v>135</v>
      </c>
      <c r="D1481" s="126"/>
      <c r="E1481" s="165">
        <v>112000</v>
      </c>
      <c r="F1481" s="104"/>
      <c r="G1481" s="168"/>
    </row>
    <row r="1482" spans="1:7" s="169" customFormat="1">
      <c r="A1482" s="31">
        <f t="shared" si="59"/>
        <v>6</v>
      </c>
      <c r="B1482" s="98" t="s">
        <v>1426</v>
      </c>
      <c r="C1482" s="10" t="s">
        <v>135</v>
      </c>
      <c r="D1482" s="126"/>
      <c r="E1482" s="165">
        <v>74000</v>
      </c>
      <c r="F1482" s="104"/>
      <c r="G1482" s="168"/>
    </row>
    <row r="1483" spans="1:7" s="169" customFormat="1">
      <c r="A1483" s="31">
        <f t="shared" si="59"/>
        <v>7</v>
      </c>
      <c r="B1483" s="98" t="s">
        <v>1427</v>
      </c>
      <c r="C1483" s="10" t="s">
        <v>135</v>
      </c>
      <c r="D1483" s="126"/>
      <c r="E1483" s="165">
        <v>80000</v>
      </c>
      <c r="F1483" s="104"/>
      <c r="G1483" s="168"/>
    </row>
    <row r="1484" spans="1:7" s="169" customFormat="1">
      <c r="A1484" s="31">
        <f t="shared" si="59"/>
        <v>8</v>
      </c>
      <c r="B1484" s="98" t="s">
        <v>1428</v>
      </c>
      <c r="C1484" s="10" t="s">
        <v>135</v>
      </c>
      <c r="D1484" s="126"/>
      <c r="E1484" s="165">
        <v>233000</v>
      </c>
      <c r="F1484" s="104"/>
      <c r="G1484" s="168"/>
    </row>
    <row r="1485" spans="1:7" s="169" customFormat="1">
      <c r="A1485" s="31">
        <f t="shared" si="59"/>
        <v>9</v>
      </c>
      <c r="B1485" s="98" t="s">
        <v>1429</v>
      </c>
      <c r="C1485" s="10" t="s">
        <v>135</v>
      </c>
      <c r="D1485" s="126"/>
      <c r="E1485" s="165">
        <v>412000</v>
      </c>
      <c r="F1485" s="104"/>
      <c r="G1485" s="168"/>
    </row>
    <row r="1486" spans="1:7" s="169" customFormat="1">
      <c r="A1486" s="31">
        <f t="shared" si="59"/>
        <v>10</v>
      </c>
      <c r="B1486" s="99" t="s">
        <v>1430</v>
      </c>
      <c r="C1486" s="33" t="s">
        <v>135</v>
      </c>
      <c r="D1486" s="130"/>
      <c r="E1486" s="166">
        <v>580000</v>
      </c>
      <c r="F1486" s="106"/>
      <c r="G1486" s="168"/>
    </row>
    <row r="1487" spans="1:7" s="169" customFormat="1" ht="26.45" customHeight="1">
      <c r="A1487" s="34"/>
      <c r="B1487" s="213" t="s">
        <v>1431</v>
      </c>
      <c r="C1487" s="213"/>
      <c r="D1487" s="213"/>
      <c r="E1487" s="213"/>
      <c r="F1487" s="213"/>
      <c r="G1487" s="168"/>
    </row>
    <row r="1488" spans="1:7" s="169" customFormat="1">
      <c r="A1488" s="31">
        <v>1</v>
      </c>
      <c r="B1488" s="91" t="s">
        <v>1432</v>
      </c>
      <c r="C1488" s="10" t="s">
        <v>142</v>
      </c>
      <c r="D1488" s="104"/>
      <c r="E1488" s="104">
        <f>85000/50/1.05</f>
        <v>1619.047619047619</v>
      </c>
      <c r="F1488" s="104"/>
      <c r="G1488" s="168"/>
    </row>
    <row r="1489" spans="1:7" s="169" customFormat="1">
      <c r="A1489" s="31">
        <f t="shared" si="58"/>
        <v>2</v>
      </c>
      <c r="B1489" s="91" t="s">
        <v>1433</v>
      </c>
      <c r="C1489" s="10" t="s">
        <v>142</v>
      </c>
      <c r="D1489" s="104"/>
      <c r="E1489" s="104">
        <f>105000/50/1.05</f>
        <v>2000</v>
      </c>
      <c r="F1489" s="104"/>
      <c r="G1489" s="168"/>
    </row>
    <row r="1490" spans="1:7" s="169" customFormat="1">
      <c r="A1490" s="31">
        <f t="shared" si="58"/>
        <v>3</v>
      </c>
      <c r="B1490" s="91" t="s">
        <v>1434</v>
      </c>
      <c r="C1490" s="10" t="s">
        <v>142</v>
      </c>
      <c r="D1490" s="104"/>
      <c r="E1490" s="104">
        <f>145000/50/1.05</f>
        <v>2761.9047619047619</v>
      </c>
      <c r="F1490" s="104"/>
      <c r="G1490" s="168"/>
    </row>
    <row r="1491" spans="1:7" s="169" customFormat="1">
      <c r="A1491" s="31">
        <f t="shared" si="58"/>
        <v>4</v>
      </c>
      <c r="B1491" s="91" t="s">
        <v>1435</v>
      </c>
      <c r="C1491" s="10" t="s">
        <v>142</v>
      </c>
      <c r="D1491" s="104"/>
      <c r="E1491" s="104">
        <f>180000/50/1.05</f>
        <v>3428.5714285714284</v>
      </c>
      <c r="F1491" s="104"/>
      <c r="G1491" s="168"/>
    </row>
    <row r="1492" spans="1:7" s="169" customFormat="1">
      <c r="A1492" s="31">
        <f t="shared" si="58"/>
        <v>5</v>
      </c>
      <c r="B1492" s="91" t="s">
        <v>1436</v>
      </c>
      <c r="C1492" s="10" t="s">
        <v>142</v>
      </c>
      <c r="D1492" s="104"/>
      <c r="E1492" s="104">
        <f>50000/50/1.05</f>
        <v>952.38095238095229</v>
      </c>
      <c r="F1492" s="104"/>
      <c r="G1492" s="168"/>
    </row>
    <row r="1493" spans="1:7" s="169" customFormat="1">
      <c r="A1493" s="31">
        <f t="shared" si="58"/>
        <v>6</v>
      </c>
      <c r="B1493" s="91" t="s">
        <v>1437</v>
      </c>
      <c r="C1493" s="10" t="s">
        <v>142</v>
      </c>
      <c r="D1493" s="104"/>
      <c r="E1493" s="104">
        <f>75000/50/1.05</f>
        <v>1428.5714285714284</v>
      </c>
      <c r="F1493" s="104"/>
      <c r="G1493" s="168"/>
    </row>
    <row r="1494" spans="1:7" s="169" customFormat="1">
      <c r="A1494" s="31">
        <f t="shared" si="58"/>
        <v>7</v>
      </c>
      <c r="B1494" s="91" t="s">
        <v>1438</v>
      </c>
      <c r="C1494" s="10" t="s">
        <v>142</v>
      </c>
      <c r="D1494" s="104"/>
      <c r="E1494" s="104">
        <f>95000/50/1.05</f>
        <v>1809.5238095238094</v>
      </c>
      <c r="F1494" s="104"/>
      <c r="G1494" s="168"/>
    </row>
    <row r="1495" spans="1:7" s="169" customFormat="1">
      <c r="A1495" s="31">
        <f t="shared" si="58"/>
        <v>8</v>
      </c>
      <c r="B1495" s="91" t="s">
        <v>1439</v>
      </c>
      <c r="C1495" s="10" t="s">
        <v>142</v>
      </c>
      <c r="D1495" s="104"/>
      <c r="E1495" s="104">
        <f>145000/50/1.05</f>
        <v>2761.9047619047619</v>
      </c>
      <c r="F1495" s="104"/>
      <c r="G1495" s="168"/>
    </row>
    <row r="1496" spans="1:7" s="169" customFormat="1">
      <c r="A1496" s="31">
        <f t="shared" si="58"/>
        <v>9</v>
      </c>
      <c r="B1496" s="91" t="s">
        <v>1440</v>
      </c>
      <c r="C1496" s="10" t="s">
        <v>135</v>
      </c>
      <c r="D1496" s="104"/>
      <c r="E1496" s="104">
        <f>9000/1.05</f>
        <v>8571.4285714285706</v>
      </c>
      <c r="F1496" s="104"/>
      <c r="G1496" s="168"/>
    </row>
    <row r="1497" spans="1:7" s="169" customFormat="1">
      <c r="A1497" s="31">
        <f t="shared" si="58"/>
        <v>10</v>
      </c>
      <c r="B1497" s="91" t="s">
        <v>1441</v>
      </c>
      <c r="C1497" s="10" t="s">
        <v>135</v>
      </c>
      <c r="D1497" s="104"/>
      <c r="E1497" s="104">
        <f>8000/1.05</f>
        <v>7619.0476190476184</v>
      </c>
      <c r="F1497" s="104"/>
      <c r="G1497" s="168"/>
    </row>
    <row r="1498" spans="1:7" s="169" customFormat="1">
      <c r="A1498" s="31">
        <f t="shared" si="58"/>
        <v>11</v>
      </c>
      <c r="B1498" s="91" t="s">
        <v>1442</v>
      </c>
      <c r="C1498" s="10" t="s">
        <v>135</v>
      </c>
      <c r="D1498" s="104"/>
      <c r="E1498" s="104">
        <f>15000/1.05</f>
        <v>14285.714285714284</v>
      </c>
      <c r="F1498" s="104"/>
      <c r="G1498" s="168"/>
    </row>
    <row r="1499" spans="1:7" s="169" customFormat="1">
      <c r="A1499" s="31">
        <f t="shared" si="58"/>
        <v>12</v>
      </c>
      <c r="B1499" s="91" t="s">
        <v>1443</v>
      </c>
      <c r="C1499" s="10" t="s">
        <v>135</v>
      </c>
      <c r="D1499" s="104"/>
      <c r="E1499" s="104">
        <f>17000/1.05</f>
        <v>16190.476190476189</v>
      </c>
      <c r="F1499" s="104"/>
      <c r="G1499" s="168"/>
    </row>
    <row r="1500" spans="1:7" s="169" customFormat="1">
      <c r="A1500" s="32">
        <f>+A1499+1</f>
        <v>13</v>
      </c>
      <c r="B1500" s="100" t="s">
        <v>1444</v>
      </c>
      <c r="C1500" s="33" t="s">
        <v>135</v>
      </c>
      <c r="D1500" s="106"/>
      <c r="E1500" s="106">
        <f>22000/1.05</f>
        <v>20952.38095238095</v>
      </c>
      <c r="F1500" s="106"/>
      <c r="G1500" s="168"/>
    </row>
    <row r="1501" spans="1:7" s="169" customFormat="1" ht="31.5" customHeight="1">
      <c r="A1501" s="34"/>
      <c r="B1501" s="213" t="s">
        <v>1445</v>
      </c>
      <c r="C1501" s="213"/>
      <c r="D1501" s="213"/>
      <c r="E1501" s="213"/>
      <c r="F1501" s="213"/>
      <c r="G1501" s="168"/>
    </row>
    <row r="1502" spans="1:7" s="169" customFormat="1">
      <c r="A1502" s="31">
        <v>1</v>
      </c>
      <c r="B1502" s="91" t="s">
        <v>1446</v>
      </c>
      <c r="C1502" s="10" t="s">
        <v>1066</v>
      </c>
      <c r="D1502" s="104">
        <f>3982/1.1</f>
        <v>3619.9999999999995</v>
      </c>
      <c r="E1502" s="104"/>
      <c r="F1502" s="104"/>
      <c r="G1502" s="168"/>
    </row>
    <row r="1503" spans="1:7" s="169" customFormat="1">
      <c r="A1503" s="31">
        <f t="shared" ref="A1503:A1516" si="60">+A1502+1</f>
        <v>2</v>
      </c>
      <c r="B1503" s="91" t="s">
        <v>1447</v>
      </c>
      <c r="C1503" s="10" t="s">
        <v>1066</v>
      </c>
      <c r="D1503" s="104">
        <f>6391/1.1</f>
        <v>5809.9999999999991</v>
      </c>
      <c r="E1503" s="104"/>
      <c r="F1503" s="104"/>
      <c r="G1503" s="168"/>
    </row>
    <row r="1504" spans="1:7" s="169" customFormat="1">
      <c r="A1504" s="31">
        <f t="shared" si="60"/>
        <v>3</v>
      </c>
      <c r="B1504" s="91" t="s">
        <v>1448</v>
      </c>
      <c r="C1504" s="10" t="s">
        <v>1066</v>
      </c>
      <c r="D1504" s="104">
        <f>4213/1.1</f>
        <v>3829.9999999999995</v>
      </c>
      <c r="E1504" s="104"/>
      <c r="F1504" s="104"/>
      <c r="G1504" s="168"/>
    </row>
    <row r="1505" spans="1:7" s="169" customFormat="1">
      <c r="A1505" s="31">
        <f t="shared" si="60"/>
        <v>4</v>
      </c>
      <c r="B1505" s="91" t="s">
        <v>1449</v>
      </c>
      <c r="C1505" s="10" t="s">
        <v>1066</v>
      </c>
      <c r="D1505" s="104">
        <f>6600/1.1</f>
        <v>5999.9999999999991</v>
      </c>
      <c r="E1505" s="104"/>
      <c r="F1505" s="104"/>
      <c r="G1505" s="168"/>
    </row>
    <row r="1506" spans="1:7" s="169" customFormat="1">
      <c r="A1506" s="31">
        <f t="shared" si="60"/>
        <v>5</v>
      </c>
      <c r="B1506" s="91" t="s">
        <v>1450</v>
      </c>
      <c r="C1506" s="10" t="s">
        <v>1066</v>
      </c>
      <c r="D1506" s="104">
        <f>4455/1.1</f>
        <v>4049.9999999999995</v>
      </c>
      <c r="E1506" s="104"/>
      <c r="F1506" s="104"/>
      <c r="G1506" s="168"/>
    </row>
    <row r="1507" spans="1:7" s="169" customFormat="1">
      <c r="A1507" s="31">
        <f t="shared" si="60"/>
        <v>6</v>
      </c>
      <c r="B1507" s="91" t="s">
        <v>1451</v>
      </c>
      <c r="C1507" s="10" t="s">
        <v>1066</v>
      </c>
      <c r="D1507" s="104">
        <f>6985/1.1</f>
        <v>6349.9999999999991</v>
      </c>
      <c r="E1507" s="104"/>
      <c r="F1507" s="104"/>
      <c r="G1507" s="168"/>
    </row>
    <row r="1508" spans="1:7" s="169" customFormat="1">
      <c r="A1508" s="31">
        <f t="shared" si="60"/>
        <v>7</v>
      </c>
      <c r="B1508" s="91" t="s">
        <v>1452</v>
      </c>
      <c r="C1508" s="10" t="s">
        <v>1066</v>
      </c>
      <c r="D1508" s="104">
        <f>10494/1.1</f>
        <v>9540</v>
      </c>
      <c r="E1508" s="104"/>
      <c r="F1508" s="104"/>
      <c r="G1508" s="168"/>
    </row>
    <row r="1509" spans="1:7" s="169" customFormat="1">
      <c r="A1509" s="31">
        <f t="shared" si="60"/>
        <v>8</v>
      </c>
      <c r="B1509" s="91" t="s">
        <v>1453</v>
      </c>
      <c r="C1509" s="10" t="s">
        <v>1066</v>
      </c>
      <c r="D1509" s="104">
        <f>15345/1.1</f>
        <v>13949.999999999998</v>
      </c>
      <c r="E1509" s="104"/>
      <c r="F1509" s="104"/>
      <c r="G1509" s="168"/>
    </row>
    <row r="1510" spans="1:7" s="169" customFormat="1">
      <c r="A1510" s="31">
        <f t="shared" si="60"/>
        <v>9</v>
      </c>
      <c r="B1510" s="91" t="s">
        <v>1454</v>
      </c>
      <c r="C1510" s="10" t="s">
        <v>1066</v>
      </c>
      <c r="D1510" s="104">
        <f>25740/1.1</f>
        <v>23399.999999999996</v>
      </c>
      <c r="E1510" s="104"/>
      <c r="F1510" s="104"/>
      <c r="G1510" s="168"/>
    </row>
    <row r="1511" spans="1:7" s="169" customFormat="1">
      <c r="A1511" s="31">
        <f t="shared" si="60"/>
        <v>10</v>
      </c>
      <c r="B1511" s="91" t="s">
        <v>1455</v>
      </c>
      <c r="C1511" s="10" t="s">
        <v>1066</v>
      </c>
      <c r="D1511" s="104">
        <f>39930/1.1</f>
        <v>36300</v>
      </c>
      <c r="E1511" s="104"/>
      <c r="F1511" s="104"/>
      <c r="G1511" s="168"/>
    </row>
    <row r="1512" spans="1:7" s="169" customFormat="1">
      <c r="A1512" s="31">
        <f t="shared" si="60"/>
        <v>11</v>
      </c>
      <c r="B1512" s="91" t="s">
        <v>1456</v>
      </c>
      <c r="C1512" s="10" t="s">
        <v>1066</v>
      </c>
      <c r="D1512" s="104">
        <f>58500/1.1</f>
        <v>53181.818181818177</v>
      </c>
      <c r="E1512" s="104"/>
      <c r="F1512" s="104"/>
      <c r="G1512" s="168"/>
    </row>
    <row r="1513" spans="1:7" s="169" customFormat="1">
      <c r="A1513" s="31">
        <f t="shared" si="60"/>
        <v>12</v>
      </c>
      <c r="B1513" s="91" t="s">
        <v>1457</v>
      </c>
      <c r="C1513" s="10" t="s">
        <v>1066</v>
      </c>
      <c r="D1513" s="104">
        <f>112500/1.1</f>
        <v>102272.72727272726</v>
      </c>
      <c r="E1513" s="104"/>
      <c r="F1513" s="104"/>
      <c r="G1513" s="168"/>
    </row>
    <row r="1514" spans="1:7" s="169" customFormat="1">
      <c r="A1514" s="31">
        <f t="shared" si="60"/>
        <v>13</v>
      </c>
      <c r="B1514" s="91" t="s">
        <v>1458</v>
      </c>
      <c r="C1514" s="10" t="s">
        <v>78</v>
      </c>
      <c r="D1514" s="104">
        <f>73300/1.1</f>
        <v>66636.363636363632</v>
      </c>
      <c r="E1514" s="104"/>
      <c r="F1514" s="104"/>
      <c r="G1514" s="168"/>
    </row>
    <row r="1515" spans="1:7" s="169" customFormat="1">
      <c r="A1515" s="31">
        <f t="shared" si="60"/>
        <v>14</v>
      </c>
      <c r="B1515" s="91" t="s">
        <v>1459</v>
      </c>
      <c r="C1515" s="10" t="s">
        <v>78</v>
      </c>
      <c r="D1515" s="104">
        <f>72600/1.1</f>
        <v>66000</v>
      </c>
      <c r="E1515" s="104"/>
      <c r="F1515" s="104"/>
      <c r="G1515" s="168"/>
    </row>
    <row r="1516" spans="1:7" s="169" customFormat="1">
      <c r="A1516" s="39">
        <f t="shared" si="60"/>
        <v>15</v>
      </c>
      <c r="B1516" s="92" t="s">
        <v>1460</v>
      </c>
      <c r="C1516" s="38" t="s">
        <v>78</v>
      </c>
      <c r="D1516" s="109">
        <f>74900/1.1</f>
        <v>68090.909090909088</v>
      </c>
      <c r="E1516" s="109"/>
      <c r="F1516" s="109"/>
      <c r="G1516" s="168"/>
    </row>
    <row r="1517" spans="1:7" s="169" customFormat="1" ht="15.75">
      <c r="A1517" s="176" t="s">
        <v>1461</v>
      </c>
      <c r="B1517" s="213" t="s">
        <v>1462</v>
      </c>
      <c r="C1517" s="213"/>
      <c r="D1517" s="213"/>
      <c r="E1517" s="213"/>
      <c r="F1517" s="213"/>
      <c r="G1517" s="168"/>
    </row>
    <row r="1518" spans="1:7" s="169" customFormat="1" ht="34.5" customHeight="1">
      <c r="A1518" s="31"/>
      <c r="B1518" s="213" t="s">
        <v>1463</v>
      </c>
      <c r="C1518" s="213"/>
      <c r="D1518" s="213"/>
      <c r="E1518" s="213"/>
      <c r="F1518" s="213"/>
      <c r="G1518" s="168"/>
    </row>
    <row r="1519" spans="1:7" s="169" customFormat="1" ht="27">
      <c r="A1519" s="31"/>
      <c r="B1519" s="203" t="s">
        <v>1464</v>
      </c>
      <c r="C1519" s="204"/>
      <c r="D1519" s="205"/>
      <c r="E1519" s="205"/>
      <c r="F1519" s="205"/>
      <c r="G1519" s="168"/>
    </row>
    <row r="1520" spans="1:7" s="169" customFormat="1" ht="16.5">
      <c r="A1520" s="31">
        <v>1</v>
      </c>
      <c r="B1520" s="91" t="s">
        <v>1465</v>
      </c>
      <c r="C1520" s="10" t="s">
        <v>404</v>
      </c>
      <c r="D1520" s="104"/>
      <c r="E1520" s="104">
        <v>1670000</v>
      </c>
      <c r="F1520" s="104"/>
      <c r="G1520" s="168"/>
    </row>
    <row r="1521" spans="1:7" s="169" customFormat="1" ht="16.5">
      <c r="A1521" s="31">
        <f t="shared" ref="A1521:A1526" si="61">+A1520+1</f>
        <v>2</v>
      </c>
      <c r="B1521" s="91" t="s">
        <v>1466</v>
      </c>
      <c r="C1521" s="10" t="s">
        <v>404</v>
      </c>
      <c r="D1521" s="104"/>
      <c r="E1521" s="104">
        <v>2050000</v>
      </c>
      <c r="F1521" s="104"/>
      <c r="G1521" s="168"/>
    </row>
    <row r="1522" spans="1:7" s="169" customFormat="1" ht="27">
      <c r="A1522" s="31">
        <f t="shared" si="61"/>
        <v>3</v>
      </c>
      <c r="B1522" s="91" t="s">
        <v>1467</v>
      </c>
      <c r="C1522" s="10" t="s">
        <v>404</v>
      </c>
      <c r="D1522" s="104"/>
      <c r="E1522" s="104">
        <v>2540000</v>
      </c>
      <c r="F1522" s="104"/>
      <c r="G1522" s="168"/>
    </row>
    <row r="1523" spans="1:7" s="169" customFormat="1" ht="27">
      <c r="A1523" s="31">
        <f t="shared" si="61"/>
        <v>4</v>
      </c>
      <c r="B1523" s="91" t="s">
        <v>1468</v>
      </c>
      <c r="C1523" s="10" t="s">
        <v>404</v>
      </c>
      <c r="D1523" s="104"/>
      <c r="E1523" s="104">
        <v>3200000</v>
      </c>
      <c r="F1523" s="104"/>
      <c r="G1523" s="168"/>
    </row>
    <row r="1524" spans="1:7" s="169" customFormat="1" ht="27">
      <c r="A1524" s="31">
        <f t="shared" si="61"/>
        <v>5</v>
      </c>
      <c r="B1524" s="91" t="s">
        <v>1469</v>
      </c>
      <c r="C1524" s="10" t="s">
        <v>404</v>
      </c>
      <c r="D1524" s="104"/>
      <c r="E1524" s="104">
        <v>3230000</v>
      </c>
      <c r="F1524" s="104"/>
      <c r="G1524" s="168"/>
    </row>
    <row r="1525" spans="1:7" s="169" customFormat="1" ht="27">
      <c r="A1525" s="31">
        <f t="shared" si="61"/>
        <v>6</v>
      </c>
      <c r="B1525" s="91" t="s">
        <v>1470</v>
      </c>
      <c r="C1525" s="10" t="s">
        <v>404</v>
      </c>
      <c r="D1525" s="104"/>
      <c r="E1525" s="104">
        <v>3610000</v>
      </c>
      <c r="F1525" s="104"/>
      <c r="G1525" s="168"/>
    </row>
    <row r="1526" spans="1:7" s="169" customFormat="1" ht="16.5">
      <c r="A1526" s="31">
        <f t="shared" si="61"/>
        <v>7</v>
      </c>
      <c r="B1526" s="91" t="s">
        <v>1471</v>
      </c>
      <c r="C1526" s="10" t="s">
        <v>404</v>
      </c>
      <c r="D1526" s="104"/>
      <c r="E1526" s="104">
        <v>2420000</v>
      </c>
      <c r="F1526" s="104"/>
      <c r="G1526" s="168"/>
    </row>
    <row r="1527" spans="1:7" s="169" customFormat="1">
      <c r="A1527" s="31"/>
      <c r="B1527" s="203" t="s">
        <v>1472</v>
      </c>
      <c r="C1527" s="63"/>
      <c r="D1527" s="143"/>
      <c r="E1527" s="143"/>
      <c r="F1527" s="143"/>
      <c r="G1527" s="168"/>
    </row>
    <row r="1528" spans="1:7" s="169" customFormat="1" ht="16.5">
      <c r="A1528" s="31">
        <f>+A1526+1</f>
        <v>8</v>
      </c>
      <c r="B1528" s="91" t="s">
        <v>1473</v>
      </c>
      <c r="C1528" s="10" t="s">
        <v>404</v>
      </c>
      <c r="D1528" s="104"/>
      <c r="E1528" s="104">
        <v>740000</v>
      </c>
      <c r="F1528" s="104"/>
      <c r="G1528" s="168"/>
    </row>
    <row r="1529" spans="1:7" s="169" customFormat="1" ht="16.5">
      <c r="A1529" s="31">
        <f>+A1528+1</f>
        <v>9</v>
      </c>
      <c r="B1529" s="91" t="s">
        <v>1474</v>
      </c>
      <c r="C1529" s="10" t="s">
        <v>404</v>
      </c>
      <c r="D1529" s="104"/>
      <c r="E1529" s="104">
        <v>1140000</v>
      </c>
      <c r="F1529" s="104"/>
      <c r="G1529" s="168"/>
    </row>
    <row r="1530" spans="1:7" s="169" customFormat="1" ht="27">
      <c r="A1530" s="31">
        <f>+A1529+1</f>
        <v>10</v>
      </c>
      <c r="B1530" s="91" t="s">
        <v>1475</v>
      </c>
      <c r="C1530" s="10" t="s">
        <v>404</v>
      </c>
      <c r="D1530" s="104"/>
      <c r="E1530" s="104">
        <v>1640000</v>
      </c>
      <c r="F1530" s="104"/>
      <c r="G1530" s="168"/>
    </row>
    <row r="1531" spans="1:7" s="169" customFormat="1" ht="37.5" customHeight="1">
      <c r="A1531" s="34"/>
      <c r="B1531" s="213" t="s">
        <v>1476</v>
      </c>
      <c r="C1531" s="213"/>
      <c r="D1531" s="213"/>
      <c r="E1531" s="213"/>
      <c r="F1531" s="213"/>
      <c r="G1531" s="168"/>
    </row>
    <row r="1532" spans="1:7" s="169" customFormat="1" ht="16.5">
      <c r="A1532" s="31">
        <v>1</v>
      </c>
      <c r="B1532" s="6" t="s">
        <v>1477</v>
      </c>
      <c r="C1532" s="10" t="s">
        <v>404</v>
      </c>
      <c r="D1532" s="104">
        <v>800000</v>
      </c>
      <c r="E1532" s="152"/>
      <c r="F1532" s="152"/>
      <c r="G1532" s="168"/>
    </row>
    <row r="1533" spans="1:7" s="169" customFormat="1" ht="16.5">
      <c r="A1533" s="31">
        <f t="shared" ref="A1533:A1545" si="62">+A1532+1</f>
        <v>2</v>
      </c>
      <c r="B1533" s="6" t="s">
        <v>1478</v>
      </c>
      <c r="C1533" s="10" t="s">
        <v>404</v>
      </c>
      <c r="D1533" s="104">
        <v>1200000</v>
      </c>
      <c r="E1533" s="152"/>
      <c r="F1533" s="152"/>
      <c r="G1533" s="168"/>
    </row>
    <row r="1534" spans="1:7" s="169" customFormat="1" ht="16.5">
      <c r="A1534" s="31">
        <f t="shared" si="62"/>
        <v>3</v>
      </c>
      <c r="B1534" s="6" t="s">
        <v>1479</v>
      </c>
      <c r="C1534" s="10" t="s">
        <v>404</v>
      </c>
      <c r="D1534" s="104">
        <v>600000</v>
      </c>
      <c r="E1534" s="152"/>
      <c r="F1534" s="152"/>
      <c r="G1534" s="168"/>
    </row>
    <row r="1535" spans="1:7" s="169" customFormat="1" ht="16.5">
      <c r="A1535" s="31">
        <f t="shared" si="62"/>
        <v>4</v>
      </c>
      <c r="B1535" s="6" t="s">
        <v>1480</v>
      </c>
      <c r="C1535" s="10" t="s">
        <v>404</v>
      </c>
      <c r="D1535" s="104">
        <v>600000</v>
      </c>
      <c r="E1535" s="152"/>
      <c r="F1535" s="152"/>
      <c r="G1535" s="168"/>
    </row>
    <row r="1536" spans="1:7" s="169" customFormat="1" ht="16.5">
      <c r="A1536" s="31">
        <f t="shared" si="62"/>
        <v>5</v>
      </c>
      <c r="B1536" s="6" t="s">
        <v>1481</v>
      </c>
      <c r="C1536" s="10" t="s">
        <v>404</v>
      </c>
      <c r="D1536" s="104">
        <v>700000</v>
      </c>
      <c r="E1536" s="152"/>
      <c r="F1536" s="152"/>
      <c r="G1536" s="168"/>
    </row>
    <row r="1537" spans="1:7" s="169" customFormat="1" ht="16.5">
      <c r="A1537" s="31">
        <f t="shared" si="62"/>
        <v>6</v>
      </c>
      <c r="B1537" s="6" t="s">
        <v>1482</v>
      </c>
      <c r="C1537" s="10" t="s">
        <v>404</v>
      </c>
      <c r="D1537" s="104">
        <v>600000</v>
      </c>
      <c r="E1537" s="152"/>
      <c r="F1537" s="152"/>
      <c r="G1537" s="168"/>
    </row>
    <row r="1538" spans="1:7" s="169" customFormat="1" ht="16.5">
      <c r="A1538" s="31">
        <f t="shared" si="62"/>
        <v>7</v>
      </c>
      <c r="B1538" s="6" t="s">
        <v>1483</v>
      </c>
      <c r="C1538" s="10" t="s">
        <v>404</v>
      </c>
      <c r="D1538" s="104">
        <v>600000</v>
      </c>
      <c r="E1538" s="152"/>
      <c r="F1538" s="152"/>
      <c r="G1538" s="168"/>
    </row>
    <row r="1539" spans="1:7" s="169" customFormat="1" ht="16.5">
      <c r="A1539" s="31">
        <f t="shared" si="62"/>
        <v>8</v>
      </c>
      <c r="B1539" s="6" t="s">
        <v>1484</v>
      </c>
      <c r="C1539" s="10" t="s">
        <v>404</v>
      </c>
      <c r="D1539" s="104">
        <v>700000</v>
      </c>
      <c r="E1539" s="152"/>
      <c r="F1539" s="152"/>
      <c r="G1539" s="168"/>
    </row>
    <row r="1540" spans="1:7" s="169" customFormat="1" ht="16.5">
      <c r="A1540" s="31">
        <f t="shared" si="62"/>
        <v>9</v>
      </c>
      <c r="B1540" s="6" t="s">
        <v>1485</v>
      </c>
      <c r="C1540" s="10" t="s">
        <v>404</v>
      </c>
      <c r="D1540" s="104">
        <v>800000</v>
      </c>
      <c r="E1540" s="152"/>
      <c r="F1540" s="152"/>
      <c r="G1540" s="168"/>
    </row>
    <row r="1541" spans="1:7" s="169" customFormat="1" ht="16.5">
      <c r="A1541" s="31">
        <f t="shared" si="62"/>
        <v>10</v>
      </c>
      <c r="B1541" s="6" t="s">
        <v>1486</v>
      </c>
      <c r="C1541" s="10" t="s">
        <v>404</v>
      </c>
      <c r="D1541" s="104">
        <v>600000</v>
      </c>
      <c r="E1541" s="152"/>
      <c r="F1541" s="152"/>
      <c r="G1541" s="168"/>
    </row>
    <row r="1542" spans="1:7" s="169" customFormat="1" ht="16.5">
      <c r="A1542" s="31">
        <f t="shared" si="62"/>
        <v>11</v>
      </c>
      <c r="B1542" s="6" t="s">
        <v>1487</v>
      </c>
      <c r="C1542" s="10" t="s">
        <v>404</v>
      </c>
      <c r="D1542" s="104">
        <v>900000</v>
      </c>
      <c r="E1542" s="152"/>
      <c r="F1542" s="152"/>
      <c r="G1542" s="168"/>
    </row>
    <row r="1543" spans="1:7" s="169" customFormat="1" ht="16.5">
      <c r="A1543" s="31">
        <f t="shared" si="62"/>
        <v>12</v>
      </c>
      <c r="B1543" s="6" t="s">
        <v>1488</v>
      </c>
      <c r="C1543" s="10" t="s">
        <v>404</v>
      </c>
      <c r="D1543" s="104">
        <v>1000000</v>
      </c>
      <c r="E1543" s="104"/>
      <c r="F1543" s="104"/>
      <c r="G1543" s="168"/>
    </row>
    <row r="1544" spans="1:7" s="169" customFormat="1" ht="16.5">
      <c r="A1544" s="31">
        <f t="shared" si="62"/>
        <v>13</v>
      </c>
      <c r="B1544" s="6" t="s">
        <v>1489</v>
      </c>
      <c r="C1544" s="10" t="s">
        <v>404</v>
      </c>
      <c r="D1544" s="104">
        <v>600000</v>
      </c>
      <c r="E1544" s="104"/>
      <c r="F1544" s="104"/>
      <c r="G1544" s="168"/>
    </row>
    <row r="1545" spans="1:7" s="169" customFormat="1" ht="16.5">
      <c r="A1545" s="31">
        <f t="shared" si="62"/>
        <v>14</v>
      </c>
      <c r="B1545" s="6" t="s">
        <v>1490</v>
      </c>
      <c r="C1545" s="10" t="s">
        <v>404</v>
      </c>
      <c r="D1545" s="104">
        <v>700000</v>
      </c>
      <c r="E1545" s="104"/>
      <c r="F1545" s="104"/>
      <c r="G1545" s="168"/>
    </row>
    <row r="1546" spans="1:7" s="169" customFormat="1">
      <c r="A1546" s="31"/>
      <c r="B1546" s="8" t="s">
        <v>1491</v>
      </c>
      <c r="C1546" s="12"/>
      <c r="D1546" s="104"/>
      <c r="E1546" s="104"/>
      <c r="F1546" s="104"/>
      <c r="G1546" s="168"/>
    </row>
    <row r="1547" spans="1:7" s="169" customFormat="1" ht="16.5">
      <c r="A1547" s="31">
        <f>+A1545+1</f>
        <v>15</v>
      </c>
      <c r="B1547" s="6" t="s">
        <v>1492</v>
      </c>
      <c r="C1547" s="10" t="s">
        <v>404</v>
      </c>
      <c r="D1547" s="104">
        <v>180000</v>
      </c>
      <c r="E1547" s="104"/>
      <c r="F1547" s="104"/>
      <c r="G1547" s="168"/>
    </row>
    <row r="1548" spans="1:7" s="169" customFormat="1" ht="16.5">
      <c r="A1548" s="32">
        <f>+A1547+1</f>
        <v>16</v>
      </c>
      <c r="B1548" s="7" t="s">
        <v>1493</v>
      </c>
      <c r="C1548" s="33" t="s">
        <v>404</v>
      </c>
      <c r="D1548" s="106">
        <v>280000</v>
      </c>
      <c r="E1548" s="106"/>
      <c r="F1548" s="106"/>
      <c r="G1548" s="168"/>
    </row>
    <row r="1549" spans="1:7" s="169" customFormat="1" ht="35.450000000000003" customHeight="1">
      <c r="A1549" s="34"/>
      <c r="B1549" s="213" t="s">
        <v>1494</v>
      </c>
      <c r="C1549" s="213"/>
      <c r="D1549" s="213"/>
      <c r="E1549" s="213"/>
      <c r="F1549" s="213"/>
      <c r="G1549" s="168"/>
    </row>
    <row r="1550" spans="1:7" s="169" customFormat="1">
      <c r="A1550" s="31"/>
      <c r="B1550" s="8" t="s">
        <v>1495</v>
      </c>
      <c r="C1550" s="49"/>
      <c r="D1550" s="138"/>
      <c r="E1550" s="138"/>
      <c r="F1550" s="138"/>
      <c r="G1550" s="168"/>
    </row>
    <row r="1551" spans="1:7" s="169" customFormat="1" ht="16.5">
      <c r="A1551" s="31">
        <v>1</v>
      </c>
      <c r="B1551" s="101" t="s">
        <v>1496</v>
      </c>
      <c r="C1551" s="10" t="s">
        <v>404</v>
      </c>
      <c r="D1551" s="138"/>
      <c r="E1551" s="104">
        <v>1064000</v>
      </c>
      <c r="F1551" s="138"/>
      <c r="G1551" s="168"/>
    </row>
    <row r="1552" spans="1:7" s="169" customFormat="1" ht="16.5">
      <c r="A1552" s="31">
        <f t="shared" ref="A1552:A1558" si="63">+A1551+1</f>
        <v>2</v>
      </c>
      <c r="B1552" s="101" t="s">
        <v>1497</v>
      </c>
      <c r="C1552" s="10" t="s">
        <v>404</v>
      </c>
      <c r="D1552" s="138"/>
      <c r="E1552" s="104">
        <v>2051000</v>
      </c>
      <c r="F1552" s="138"/>
      <c r="G1552" s="168"/>
    </row>
    <row r="1553" spans="1:7" s="169" customFormat="1" ht="16.5">
      <c r="A1553" s="31">
        <f t="shared" si="63"/>
        <v>3</v>
      </c>
      <c r="B1553" s="101" t="s">
        <v>1498</v>
      </c>
      <c r="C1553" s="10" t="s">
        <v>404</v>
      </c>
      <c r="D1553" s="138"/>
      <c r="E1553" s="104">
        <v>2051000</v>
      </c>
      <c r="F1553" s="138"/>
      <c r="G1553" s="168"/>
    </row>
    <row r="1554" spans="1:7" s="169" customFormat="1" ht="16.5">
      <c r="A1554" s="31">
        <f t="shared" si="63"/>
        <v>4</v>
      </c>
      <c r="B1554" s="101" t="s">
        <v>1499</v>
      </c>
      <c r="C1554" s="10" t="s">
        <v>404</v>
      </c>
      <c r="D1554" s="138"/>
      <c r="E1554" s="104">
        <v>1261000</v>
      </c>
      <c r="F1554" s="138"/>
      <c r="G1554" s="168"/>
    </row>
    <row r="1555" spans="1:7" s="169" customFormat="1" ht="16.5">
      <c r="A1555" s="31">
        <f t="shared" si="63"/>
        <v>5</v>
      </c>
      <c r="B1555" s="101" t="s">
        <v>1500</v>
      </c>
      <c r="C1555" s="10" t="s">
        <v>404</v>
      </c>
      <c r="D1555" s="136"/>
      <c r="E1555" s="104">
        <v>1928000</v>
      </c>
      <c r="F1555" s="104"/>
      <c r="G1555" s="168"/>
    </row>
    <row r="1556" spans="1:7" s="169" customFormat="1" ht="16.5">
      <c r="A1556" s="31">
        <f t="shared" si="63"/>
        <v>6</v>
      </c>
      <c r="B1556" s="101" t="s">
        <v>1501</v>
      </c>
      <c r="C1556" s="10" t="s">
        <v>404</v>
      </c>
      <c r="D1556" s="136"/>
      <c r="E1556" s="104">
        <v>2036000</v>
      </c>
      <c r="F1556" s="104"/>
      <c r="G1556" s="168"/>
    </row>
    <row r="1557" spans="1:7" s="169" customFormat="1" ht="16.5">
      <c r="A1557" s="31">
        <f t="shared" si="63"/>
        <v>7</v>
      </c>
      <c r="B1557" s="101" t="s">
        <v>1502</v>
      </c>
      <c r="C1557" s="10" t="s">
        <v>404</v>
      </c>
      <c r="D1557" s="136"/>
      <c r="E1557" s="104">
        <v>1075000</v>
      </c>
      <c r="F1557" s="104"/>
      <c r="G1557" s="168"/>
    </row>
    <row r="1558" spans="1:7" s="169" customFormat="1" ht="16.5">
      <c r="A1558" s="39">
        <f t="shared" si="63"/>
        <v>8</v>
      </c>
      <c r="B1558" s="102" t="s">
        <v>1503</v>
      </c>
      <c r="C1558" s="38" t="s">
        <v>404</v>
      </c>
      <c r="D1558" s="139"/>
      <c r="E1558" s="109">
        <v>1250000</v>
      </c>
      <c r="F1558" s="109"/>
      <c r="G1558" s="168"/>
    </row>
    <row r="1559" spans="1:7" s="169" customFormat="1" ht="15.75">
      <c r="A1559" s="176" t="s">
        <v>1504</v>
      </c>
      <c r="B1559" s="213" t="s">
        <v>1505</v>
      </c>
      <c r="C1559" s="213"/>
      <c r="D1559" s="213"/>
      <c r="E1559" s="213"/>
      <c r="F1559" s="213"/>
      <c r="G1559" s="168"/>
    </row>
    <row r="1560" spans="1:7" s="169" customFormat="1" ht="33" customHeight="1">
      <c r="A1560" s="31"/>
      <c r="B1560" s="235" t="s">
        <v>1506</v>
      </c>
      <c r="C1560" s="238"/>
      <c r="D1560" s="238"/>
      <c r="E1560" s="238"/>
      <c r="F1560" s="239"/>
      <c r="G1560" s="168"/>
    </row>
    <row r="1561" spans="1:7" s="169" customFormat="1">
      <c r="A1561" s="31"/>
      <c r="B1561" s="8" t="s">
        <v>1507</v>
      </c>
      <c r="C1561" s="12"/>
      <c r="D1561" s="126"/>
      <c r="E1561" s="104"/>
      <c r="F1561" s="104"/>
      <c r="G1561" s="168"/>
    </row>
    <row r="1562" spans="1:7" s="169" customFormat="1">
      <c r="A1562" s="31">
        <v>1</v>
      </c>
      <c r="B1562" s="6" t="s">
        <v>1508</v>
      </c>
      <c r="C1562" s="10" t="s">
        <v>1509</v>
      </c>
      <c r="D1562" s="104">
        <v>6454545</v>
      </c>
      <c r="E1562" s="104"/>
      <c r="F1562" s="104"/>
      <c r="G1562" s="168"/>
    </row>
    <row r="1563" spans="1:7" s="169" customFormat="1">
      <c r="A1563" s="31">
        <f>+A1562+1</f>
        <v>2</v>
      </c>
      <c r="B1563" s="6" t="s">
        <v>1510</v>
      </c>
      <c r="C1563" s="10" t="s">
        <v>1509</v>
      </c>
      <c r="D1563" s="104">
        <v>7636636</v>
      </c>
      <c r="E1563" s="104"/>
      <c r="F1563" s="104"/>
      <c r="G1563" s="168"/>
    </row>
    <row r="1564" spans="1:7" s="169" customFormat="1">
      <c r="A1564" s="31"/>
      <c r="B1564" s="8" t="s">
        <v>1511</v>
      </c>
      <c r="C1564" s="12"/>
      <c r="D1564" s="104"/>
      <c r="E1564" s="104"/>
      <c r="F1564" s="104"/>
      <c r="G1564" s="168"/>
    </row>
    <row r="1565" spans="1:7" s="169" customFormat="1">
      <c r="A1565" s="31">
        <f>+A1563+1</f>
        <v>3</v>
      </c>
      <c r="B1565" s="6" t="s">
        <v>1512</v>
      </c>
      <c r="C1565" s="10" t="s">
        <v>1509</v>
      </c>
      <c r="D1565" s="104">
        <v>8090909</v>
      </c>
      <c r="E1565" s="104"/>
      <c r="F1565" s="104"/>
      <c r="G1565" s="168"/>
    </row>
    <row r="1566" spans="1:7" s="169" customFormat="1">
      <c r="A1566" s="31">
        <f>+A1565+1</f>
        <v>4</v>
      </c>
      <c r="B1566" s="6" t="s">
        <v>1513</v>
      </c>
      <c r="C1566" s="10" t="s">
        <v>1509</v>
      </c>
      <c r="D1566" s="104">
        <v>9181818</v>
      </c>
      <c r="E1566" s="104"/>
      <c r="F1566" s="104"/>
      <c r="G1566" s="168"/>
    </row>
    <row r="1567" spans="1:7" s="169" customFormat="1">
      <c r="A1567" s="31"/>
      <c r="B1567" s="8" t="s">
        <v>1514</v>
      </c>
      <c r="C1567" s="12"/>
      <c r="D1567" s="126"/>
      <c r="E1567" s="104"/>
      <c r="F1567" s="104"/>
      <c r="G1567" s="168"/>
    </row>
    <row r="1568" spans="1:7" s="169" customFormat="1">
      <c r="A1568" s="31">
        <f>+A1566+1</f>
        <v>5</v>
      </c>
      <c r="B1568" s="6" t="s">
        <v>1515</v>
      </c>
      <c r="C1568" s="10" t="s">
        <v>1509</v>
      </c>
      <c r="D1568" s="104">
        <v>6636364</v>
      </c>
      <c r="E1568" s="104"/>
      <c r="F1568" s="104"/>
      <c r="G1568" s="168"/>
    </row>
    <row r="1569" spans="1:7" s="169" customFormat="1">
      <c r="A1569" s="31">
        <f>+A1568+1</f>
        <v>6</v>
      </c>
      <c r="B1569" s="6" t="s">
        <v>1516</v>
      </c>
      <c r="C1569" s="10" t="s">
        <v>1509</v>
      </c>
      <c r="D1569" s="104">
        <v>7545455</v>
      </c>
      <c r="E1569" s="104"/>
      <c r="F1569" s="104"/>
      <c r="G1569" s="168"/>
    </row>
    <row r="1570" spans="1:7" s="169" customFormat="1">
      <c r="A1570" s="31"/>
      <c r="B1570" s="8" t="s">
        <v>1517</v>
      </c>
      <c r="C1570" s="12"/>
      <c r="D1570" s="104"/>
      <c r="E1570" s="104"/>
      <c r="F1570" s="104"/>
      <c r="G1570" s="168"/>
    </row>
    <row r="1571" spans="1:7" s="169" customFormat="1">
      <c r="A1571" s="31">
        <f>+A1569+1</f>
        <v>7</v>
      </c>
      <c r="B1571" s="6" t="s">
        <v>1518</v>
      </c>
      <c r="C1571" s="10" t="s">
        <v>1509</v>
      </c>
      <c r="D1571" s="104">
        <v>7727273</v>
      </c>
      <c r="E1571" s="104"/>
      <c r="F1571" s="104"/>
      <c r="G1571" s="168"/>
    </row>
    <row r="1572" spans="1:7" s="169" customFormat="1">
      <c r="A1572" s="31">
        <f>+A1571+1</f>
        <v>8</v>
      </c>
      <c r="B1572" s="6" t="s">
        <v>1519</v>
      </c>
      <c r="C1572" s="10" t="s">
        <v>1509</v>
      </c>
      <c r="D1572" s="104">
        <v>8818182</v>
      </c>
      <c r="E1572" s="104"/>
      <c r="F1572" s="104"/>
      <c r="G1572" s="168"/>
    </row>
    <row r="1573" spans="1:7" s="169" customFormat="1" ht="27">
      <c r="A1573" s="31"/>
      <c r="B1573" s="8" t="s">
        <v>1520</v>
      </c>
      <c r="C1573" s="49"/>
      <c r="D1573" s="138"/>
      <c r="E1573" s="104"/>
      <c r="F1573" s="104"/>
      <c r="G1573" s="168"/>
    </row>
    <row r="1574" spans="1:7" s="169" customFormat="1">
      <c r="A1574" s="31">
        <f>+A1572+1</f>
        <v>9</v>
      </c>
      <c r="B1574" s="6" t="s">
        <v>1521</v>
      </c>
      <c r="C1574" s="10" t="s">
        <v>1509</v>
      </c>
      <c r="D1574" s="104">
        <v>9272727</v>
      </c>
      <c r="E1574" s="104"/>
      <c r="F1574" s="104"/>
      <c r="G1574" s="168"/>
    </row>
    <row r="1575" spans="1:7" s="169" customFormat="1">
      <c r="A1575" s="31">
        <f>+A1574+1</f>
        <v>10</v>
      </c>
      <c r="B1575" s="6" t="s">
        <v>1522</v>
      </c>
      <c r="C1575" s="10" t="s">
        <v>1509</v>
      </c>
      <c r="D1575" s="104">
        <v>10454545</v>
      </c>
      <c r="E1575" s="104"/>
      <c r="F1575" s="104"/>
      <c r="G1575" s="168"/>
    </row>
    <row r="1576" spans="1:7" s="169" customFormat="1" ht="27">
      <c r="A1576" s="31"/>
      <c r="B1576" s="8" t="s">
        <v>1523</v>
      </c>
      <c r="C1576" s="12"/>
      <c r="D1576" s="104"/>
      <c r="E1576" s="104"/>
      <c r="F1576" s="104"/>
      <c r="G1576" s="168"/>
    </row>
    <row r="1577" spans="1:7" s="169" customFormat="1">
      <c r="A1577" s="31">
        <f>+A1575+1</f>
        <v>11</v>
      </c>
      <c r="B1577" s="6" t="s">
        <v>1524</v>
      </c>
      <c r="C1577" s="10" t="s">
        <v>1509</v>
      </c>
      <c r="D1577" s="104">
        <v>10727273</v>
      </c>
      <c r="E1577" s="104"/>
      <c r="F1577" s="104"/>
      <c r="G1577" s="168"/>
    </row>
    <row r="1578" spans="1:7" s="169" customFormat="1">
      <c r="A1578" s="31">
        <f>+A1577+1</f>
        <v>12</v>
      </c>
      <c r="B1578" s="6" t="s">
        <v>1525</v>
      </c>
      <c r="C1578" s="10" t="s">
        <v>1509</v>
      </c>
      <c r="D1578" s="104">
        <v>12181818</v>
      </c>
      <c r="E1578" s="104"/>
      <c r="F1578" s="104"/>
      <c r="G1578" s="168"/>
    </row>
    <row r="1579" spans="1:7" s="169" customFormat="1" ht="27">
      <c r="A1579" s="31"/>
      <c r="B1579" s="8" t="s">
        <v>1526</v>
      </c>
      <c r="C1579" s="12"/>
      <c r="D1579" s="104"/>
      <c r="E1579" s="104"/>
      <c r="F1579" s="104"/>
      <c r="G1579" s="168"/>
    </row>
    <row r="1580" spans="1:7" s="169" customFormat="1">
      <c r="A1580" s="31">
        <f>+A1578+1</f>
        <v>13</v>
      </c>
      <c r="B1580" s="6" t="s">
        <v>1527</v>
      </c>
      <c r="C1580" s="10" t="s">
        <v>1509</v>
      </c>
      <c r="D1580" s="104">
        <v>11909091</v>
      </c>
      <c r="E1580" s="104"/>
      <c r="F1580" s="104"/>
      <c r="G1580" s="168"/>
    </row>
    <row r="1581" spans="1:7" s="169" customFormat="1">
      <c r="A1581" s="31">
        <f>+A1580+1</f>
        <v>14</v>
      </c>
      <c r="B1581" s="6" t="s">
        <v>1528</v>
      </c>
      <c r="C1581" s="10" t="s">
        <v>1509</v>
      </c>
      <c r="D1581" s="104">
        <v>13545455</v>
      </c>
      <c r="E1581" s="104"/>
      <c r="F1581" s="104"/>
      <c r="G1581" s="168"/>
    </row>
    <row r="1582" spans="1:7" s="169" customFormat="1">
      <c r="A1582" s="31"/>
      <c r="B1582" s="8" t="s">
        <v>1529</v>
      </c>
      <c r="C1582" s="12"/>
      <c r="D1582" s="104"/>
      <c r="E1582" s="104"/>
      <c r="F1582" s="104"/>
      <c r="G1582" s="168"/>
    </row>
    <row r="1583" spans="1:7" s="169" customFormat="1">
      <c r="A1583" s="31">
        <f>+A1581+1</f>
        <v>15</v>
      </c>
      <c r="B1583" s="6" t="s">
        <v>1530</v>
      </c>
      <c r="C1583" s="10" t="s">
        <v>1509</v>
      </c>
      <c r="D1583" s="104">
        <v>13545455</v>
      </c>
      <c r="E1583" s="104"/>
      <c r="F1583" s="104"/>
      <c r="G1583" s="168"/>
    </row>
    <row r="1584" spans="1:7" s="169" customFormat="1">
      <c r="A1584" s="31">
        <f>+A1583+1</f>
        <v>16</v>
      </c>
      <c r="B1584" s="6" t="s">
        <v>1531</v>
      </c>
      <c r="C1584" s="10" t="s">
        <v>1509</v>
      </c>
      <c r="D1584" s="104">
        <v>15363636</v>
      </c>
      <c r="E1584" s="104"/>
      <c r="F1584" s="104"/>
      <c r="G1584" s="168"/>
    </row>
    <row r="1585" spans="1:7" s="169" customFormat="1">
      <c r="A1585" s="31"/>
      <c r="B1585" s="8" t="s">
        <v>1532</v>
      </c>
      <c r="C1585" s="12"/>
      <c r="D1585" s="104"/>
      <c r="E1585" s="138"/>
      <c r="F1585" s="138"/>
      <c r="G1585" s="168"/>
    </row>
    <row r="1586" spans="1:7" s="169" customFormat="1">
      <c r="A1586" s="31">
        <f>+A1584+1</f>
        <v>17</v>
      </c>
      <c r="B1586" s="6" t="s">
        <v>1533</v>
      </c>
      <c r="C1586" s="10" t="s">
        <v>1509</v>
      </c>
      <c r="D1586" s="104">
        <v>13909091</v>
      </c>
      <c r="E1586" s="138"/>
      <c r="F1586" s="138"/>
      <c r="G1586" s="168"/>
    </row>
    <row r="1587" spans="1:7" s="169" customFormat="1">
      <c r="A1587" s="31">
        <f>+A1586+1</f>
        <v>18</v>
      </c>
      <c r="B1587" s="6" t="s">
        <v>1534</v>
      </c>
      <c r="C1587" s="10" t="s">
        <v>1509</v>
      </c>
      <c r="D1587" s="104">
        <v>15727273</v>
      </c>
      <c r="E1587" s="138"/>
      <c r="F1587" s="138"/>
      <c r="G1587" s="168"/>
    </row>
    <row r="1588" spans="1:7" s="169" customFormat="1" ht="27">
      <c r="A1588" s="31"/>
      <c r="B1588" s="8" t="s">
        <v>1535</v>
      </c>
      <c r="C1588" s="12"/>
      <c r="D1588" s="104"/>
      <c r="E1588" s="104"/>
      <c r="F1588" s="104"/>
      <c r="G1588" s="168"/>
    </row>
    <row r="1589" spans="1:7" s="169" customFormat="1">
      <c r="A1589" s="31">
        <f>+A1587+1</f>
        <v>19</v>
      </c>
      <c r="B1589" s="6" t="s">
        <v>1536</v>
      </c>
      <c r="C1589" s="10" t="s">
        <v>1509</v>
      </c>
      <c r="D1589" s="104">
        <v>22727273</v>
      </c>
      <c r="E1589" s="104"/>
      <c r="F1589" s="104"/>
      <c r="G1589" s="168"/>
    </row>
    <row r="1590" spans="1:7" s="169" customFormat="1">
      <c r="A1590" s="31">
        <f>+A1589+1</f>
        <v>20</v>
      </c>
      <c r="B1590" s="6" t="s">
        <v>1537</v>
      </c>
      <c r="C1590" s="10" t="s">
        <v>1509</v>
      </c>
      <c r="D1590" s="104">
        <v>25727273</v>
      </c>
      <c r="E1590" s="104"/>
      <c r="F1590" s="104"/>
      <c r="G1590" s="168"/>
    </row>
    <row r="1591" spans="1:7" s="169" customFormat="1" ht="27">
      <c r="A1591" s="31"/>
      <c r="B1591" s="8" t="s">
        <v>1538</v>
      </c>
      <c r="C1591" s="12"/>
      <c r="D1591" s="104"/>
      <c r="E1591" s="104"/>
      <c r="F1591" s="104"/>
      <c r="G1591" s="168"/>
    </row>
    <row r="1592" spans="1:7" s="169" customFormat="1">
      <c r="A1592" s="31">
        <f>+A1590+1</f>
        <v>21</v>
      </c>
      <c r="B1592" s="6" t="s">
        <v>1539</v>
      </c>
      <c r="C1592" s="10" t="s">
        <v>1509</v>
      </c>
      <c r="D1592" s="104">
        <v>24636364</v>
      </c>
      <c r="E1592" s="104"/>
      <c r="F1592" s="104"/>
      <c r="G1592" s="168"/>
    </row>
    <row r="1593" spans="1:7" s="169" customFormat="1">
      <c r="A1593" s="31">
        <f>+A1592+1</f>
        <v>22</v>
      </c>
      <c r="B1593" s="6" t="s">
        <v>1540</v>
      </c>
      <c r="C1593" s="10" t="s">
        <v>1509</v>
      </c>
      <c r="D1593" s="104">
        <v>27909091</v>
      </c>
      <c r="E1593" s="104"/>
      <c r="F1593" s="104"/>
      <c r="G1593" s="168"/>
    </row>
    <row r="1594" spans="1:7" s="169" customFormat="1" ht="27">
      <c r="A1594" s="31"/>
      <c r="B1594" s="8" t="s">
        <v>1541</v>
      </c>
      <c r="C1594" s="12"/>
      <c r="D1594" s="104"/>
      <c r="E1594" s="104"/>
      <c r="F1594" s="104"/>
      <c r="G1594" s="168"/>
    </row>
    <row r="1595" spans="1:7" s="169" customFormat="1">
      <c r="A1595" s="31">
        <f>+A1593+1</f>
        <v>23</v>
      </c>
      <c r="B1595" s="6" t="s">
        <v>1542</v>
      </c>
      <c r="C1595" s="10" t="s">
        <v>1509</v>
      </c>
      <c r="D1595" s="104">
        <v>27636364</v>
      </c>
      <c r="E1595" s="104"/>
      <c r="F1595" s="104"/>
      <c r="G1595" s="168"/>
    </row>
    <row r="1596" spans="1:7" s="169" customFormat="1">
      <c r="A1596" s="31">
        <f>+A1595+1</f>
        <v>24</v>
      </c>
      <c r="B1596" s="6" t="s">
        <v>1543</v>
      </c>
      <c r="C1596" s="10" t="s">
        <v>1509</v>
      </c>
      <c r="D1596" s="104">
        <v>31454545</v>
      </c>
      <c r="E1596" s="104"/>
      <c r="F1596" s="104"/>
      <c r="G1596" s="168"/>
    </row>
    <row r="1597" spans="1:7" s="169" customFormat="1">
      <c r="A1597" s="31"/>
      <c r="B1597" s="76" t="s">
        <v>1544</v>
      </c>
      <c r="C1597" s="35"/>
      <c r="D1597" s="108"/>
      <c r="E1597" s="108"/>
      <c r="F1597" s="104"/>
      <c r="G1597" s="168"/>
    </row>
    <row r="1598" spans="1:7" s="169" customFormat="1">
      <c r="A1598" s="31">
        <f>+A1596+1</f>
        <v>25</v>
      </c>
      <c r="B1598" s="6" t="s">
        <v>1545</v>
      </c>
      <c r="C1598" s="10" t="s">
        <v>1509</v>
      </c>
      <c r="D1598" s="104">
        <v>25000000</v>
      </c>
      <c r="E1598" s="104"/>
      <c r="F1598" s="104"/>
      <c r="G1598" s="168"/>
    </row>
    <row r="1599" spans="1:7" s="169" customFormat="1">
      <c r="A1599" s="31">
        <f>+A1598+1</f>
        <v>26</v>
      </c>
      <c r="B1599" s="6" t="s">
        <v>1546</v>
      </c>
      <c r="C1599" s="10" t="s">
        <v>1509</v>
      </c>
      <c r="D1599" s="104">
        <v>28363636</v>
      </c>
      <c r="E1599" s="104"/>
      <c r="F1599" s="104"/>
      <c r="G1599" s="168"/>
    </row>
    <row r="1600" spans="1:7" s="169" customFormat="1">
      <c r="A1600" s="31">
        <f>+A1599+1</f>
        <v>27</v>
      </c>
      <c r="B1600" s="6" t="s">
        <v>1547</v>
      </c>
      <c r="C1600" s="10" t="s">
        <v>1509</v>
      </c>
      <c r="D1600" s="104">
        <v>47000000</v>
      </c>
      <c r="E1600" s="104"/>
      <c r="F1600" s="104"/>
      <c r="G1600" s="168"/>
    </row>
    <row r="1601" spans="1:7" s="169" customFormat="1">
      <c r="A1601" s="31"/>
      <c r="B1601" s="8" t="s">
        <v>1548</v>
      </c>
      <c r="C1601" s="12"/>
      <c r="D1601" s="104"/>
      <c r="E1601" s="104"/>
      <c r="F1601" s="104"/>
      <c r="G1601" s="168"/>
    </row>
    <row r="1602" spans="1:7" s="169" customFormat="1">
      <c r="A1602" s="31">
        <f>+A1600+1</f>
        <v>28</v>
      </c>
      <c r="B1602" s="6" t="s">
        <v>1549</v>
      </c>
      <c r="C1602" s="10" t="s">
        <v>1509</v>
      </c>
      <c r="D1602" s="104">
        <v>24727273</v>
      </c>
      <c r="E1602" s="104"/>
      <c r="F1602" s="104"/>
      <c r="G1602" s="168"/>
    </row>
    <row r="1603" spans="1:7" s="169" customFormat="1">
      <c r="A1603" s="31">
        <f t="shared" ref="A1603:A1608" si="64">+A1602+1</f>
        <v>29</v>
      </c>
      <c r="B1603" s="6" t="s">
        <v>1550</v>
      </c>
      <c r="C1603" s="10" t="s">
        <v>1509</v>
      </c>
      <c r="D1603" s="104">
        <v>29181818</v>
      </c>
      <c r="E1603" s="104"/>
      <c r="F1603" s="104"/>
      <c r="G1603" s="168"/>
    </row>
    <row r="1604" spans="1:7" s="169" customFormat="1">
      <c r="A1604" s="31">
        <f t="shared" si="64"/>
        <v>30</v>
      </c>
      <c r="B1604" s="6" t="s">
        <v>1551</v>
      </c>
      <c r="C1604" s="10" t="s">
        <v>1509</v>
      </c>
      <c r="D1604" s="104">
        <v>30909091</v>
      </c>
      <c r="E1604" s="104"/>
      <c r="F1604" s="104"/>
      <c r="G1604" s="168"/>
    </row>
    <row r="1605" spans="1:7" s="169" customFormat="1">
      <c r="A1605" s="31">
        <f t="shared" si="64"/>
        <v>31</v>
      </c>
      <c r="B1605" s="6" t="s">
        <v>1552</v>
      </c>
      <c r="C1605" s="10" t="s">
        <v>1509</v>
      </c>
      <c r="D1605" s="104">
        <v>28727273</v>
      </c>
      <c r="E1605" s="104"/>
      <c r="F1605" s="104"/>
      <c r="G1605" s="168"/>
    </row>
    <row r="1606" spans="1:7" s="169" customFormat="1">
      <c r="A1606" s="31">
        <f t="shared" si="64"/>
        <v>32</v>
      </c>
      <c r="B1606" s="6" t="s">
        <v>1553</v>
      </c>
      <c r="C1606" s="10" t="s">
        <v>1509</v>
      </c>
      <c r="D1606" s="104">
        <v>32090909</v>
      </c>
      <c r="E1606" s="104"/>
      <c r="F1606" s="104"/>
      <c r="G1606" s="168"/>
    </row>
    <row r="1607" spans="1:7" s="169" customFormat="1">
      <c r="A1607" s="31">
        <f t="shared" si="64"/>
        <v>33</v>
      </c>
      <c r="B1607" s="6" t="s">
        <v>1554</v>
      </c>
      <c r="C1607" s="10" t="s">
        <v>1509</v>
      </c>
      <c r="D1607" s="104">
        <v>37090909</v>
      </c>
      <c r="E1607" s="104"/>
      <c r="F1607" s="104"/>
      <c r="G1607" s="168"/>
    </row>
    <row r="1608" spans="1:7" s="169" customFormat="1">
      <c r="A1608" s="31">
        <f t="shared" si="64"/>
        <v>34</v>
      </c>
      <c r="B1608" s="6" t="s">
        <v>1555</v>
      </c>
      <c r="C1608" s="10" t="s">
        <v>1509</v>
      </c>
      <c r="D1608" s="104">
        <v>49545455</v>
      </c>
      <c r="E1608" s="104"/>
      <c r="F1608" s="104"/>
      <c r="G1608" s="168"/>
    </row>
    <row r="1609" spans="1:7" s="169" customFormat="1">
      <c r="A1609" s="31"/>
      <c r="B1609" s="8" t="s">
        <v>1556</v>
      </c>
      <c r="C1609" s="12"/>
      <c r="D1609" s="104"/>
      <c r="E1609" s="104"/>
      <c r="F1609" s="104"/>
      <c r="G1609" s="168"/>
    </row>
    <row r="1610" spans="1:7" s="169" customFormat="1">
      <c r="A1610" s="31">
        <f>+A1608+1</f>
        <v>35</v>
      </c>
      <c r="B1610" s="6" t="s">
        <v>1557</v>
      </c>
      <c r="C1610" s="10" t="s">
        <v>1509</v>
      </c>
      <c r="D1610" s="104">
        <v>32272727</v>
      </c>
      <c r="E1610" s="104"/>
      <c r="F1610" s="104"/>
      <c r="G1610" s="168"/>
    </row>
    <row r="1611" spans="1:7" s="169" customFormat="1">
      <c r="A1611" s="31">
        <f>+A1610+1</f>
        <v>36</v>
      </c>
      <c r="B1611" s="6" t="s">
        <v>1558</v>
      </c>
      <c r="C1611" s="10" t="s">
        <v>1509</v>
      </c>
      <c r="D1611" s="104">
        <v>35636364</v>
      </c>
      <c r="E1611" s="104"/>
      <c r="F1611" s="104"/>
      <c r="G1611" s="168"/>
    </row>
    <row r="1612" spans="1:7" s="169" customFormat="1">
      <c r="A1612" s="31">
        <f>+A1611+1</f>
        <v>37</v>
      </c>
      <c r="B1612" s="6" t="s">
        <v>1559</v>
      </c>
      <c r="C1612" s="10" t="s">
        <v>1509</v>
      </c>
      <c r="D1612" s="104">
        <v>28545455</v>
      </c>
      <c r="E1612" s="104"/>
      <c r="F1612" s="104"/>
      <c r="G1612" s="168"/>
    </row>
    <row r="1613" spans="1:7" s="169" customFormat="1">
      <c r="A1613" s="31">
        <f>+A1612+1</f>
        <v>38</v>
      </c>
      <c r="B1613" s="6" t="s">
        <v>1560</v>
      </c>
      <c r="C1613" s="10" t="s">
        <v>1509</v>
      </c>
      <c r="D1613" s="104">
        <v>30636364</v>
      </c>
      <c r="E1613" s="104"/>
      <c r="F1613" s="104"/>
      <c r="G1613" s="168"/>
    </row>
    <row r="1614" spans="1:7" s="169" customFormat="1">
      <c r="A1614" s="31">
        <f>+A1613+1</f>
        <v>39</v>
      </c>
      <c r="B1614" s="6" t="s">
        <v>1561</v>
      </c>
      <c r="C1614" s="10" t="s">
        <v>1509</v>
      </c>
      <c r="D1614" s="104">
        <v>33454545</v>
      </c>
      <c r="E1614" s="104"/>
      <c r="F1614" s="104"/>
      <c r="G1614" s="168"/>
    </row>
    <row r="1615" spans="1:7" s="169" customFormat="1">
      <c r="A1615" s="31">
        <f>+A1614+1</f>
        <v>40</v>
      </c>
      <c r="B1615" s="6" t="s">
        <v>1562</v>
      </c>
      <c r="C1615" s="10" t="s">
        <v>1509</v>
      </c>
      <c r="D1615" s="104">
        <v>36818182</v>
      </c>
      <c r="E1615" s="104"/>
      <c r="F1615" s="104"/>
      <c r="G1615" s="168"/>
    </row>
    <row r="1616" spans="1:7" s="169" customFormat="1">
      <c r="A1616" s="31"/>
      <c r="B1616" s="8" t="s">
        <v>1563</v>
      </c>
      <c r="C1616" s="10"/>
      <c r="D1616" s="104"/>
      <c r="E1616" s="104"/>
      <c r="F1616" s="104"/>
      <c r="G1616" s="168"/>
    </row>
    <row r="1617" spans="1:7" s="169" customFormat="1">
      <c r="A1617" s="31"/>
      <c r="B1617" s="8" t="s">
        <v>1564</v>
      </c>
      <c r="C1617" s="10"/>
      <c r="D1617" s="104"/>
      <c r="E1617" s="104"/>
      <c r="F1617" s="104"/>
      <c r="G1617" s="168"/>
    </row>
    <row r="1618" spans="1:7" s="169" customFormat="1">
      <c r="A1618" s="31">
        <f>+A1615+1</f>
        <v>41</v>
      </c>
      <c r="B1618" s="6" t="s">
        <v>1565</v>
      </c>
      <c r="C1618" s="10" t="s">
        <v>1566</v>
      </c>
      <c r="D1618" s="104">
        <v>700000</v>
      </c>
      <c r="E1618" s="104"/>
      <c r="F1618" s="104"/>
      <c r="G1618" s="168"/>
    </row>
    <row r="1619" spans="1:7" s="169" customFormat="1">
      <c r="A1619" s="31">
        <f>+A1618+1</f>
        <v>42</v>
      </c>
      <c r="B1619" s="6" t="s">
        <v>1567</v>
      </c>
      <c r="C1619" s="10" t="s">
        <v>1566</v>
      </c>
      <c r="D1619" s="104">
        <v>5363636</v>
      </c>
      <c r="E1619" s="104"/>
      <c r="F1619" s="104"/>
      <c r="G1619" s="168"/>
    </row>
    <row r="1620" spans="1:7" s="169" customFormat="1">
      <c r="A1620" s="31"/>
      <c r="B1620" s="8" t="s">
        <v>1568</v>
      </c>
      <c r="C1620" s="10"/>
      <c r="D1620" s="104"/>
      <c r="E1620" s="104"/>
      <c r="F1620" s="104"/>
      <c r="G1620" s="168"/>
    </row>
    <row r="1621" spans="1:7" s="169" customFormat="1">
      <c r="A1621" s="31">
        <f>+A1619+1</f>
        <v>43</v>
      </c>
      <c r="B1621" s="6" t="s">
        <v>1569</v>
      </c>
      <c r="C1621" s="10" t="s">
        <v>1566</v>
      </c>
      <c r="D1621" s="104">
        <v>954545</v>
      </c>
      <c r="E1621" s="104"/>
      <c r="F1621" s="104"/>
      <c r="G1621" s="168"/>
    </row>
    <row r="1622" spans="1:7" s="169" customFormat="1">
      <c r="A1622" s="31">
        <f>+A1621+1</f>
        <v>44</v>
      </c>
      <c r="B1622" s="6" t="s">
        <v>1570</v>
      </c>
      <c r="C1622" s="10" t="s">
        <v>1566</v>
      </c>
      <c r="D1622" s="104">
        <v>9181818</v>
      </c>
      <c r="E1622" s="104"/>
      <c r="F1622" s="104"/>
      <c r="G1622" s="168"/>
    </row>
    <row r="1623" spans="1:7" s="169" customFormat="1">
      <c r="A1623" s="31"/>
      <c r="B1623" s="8" t="s">
        <v>1571</v>
      </c>
      <c r="C1623" s="10"/>
      <c r="D1623" s="104"/>
      <c r="E1623" s="104"/>
      <c r="F1623" s="104"/>
      <c r="G1623" s="168"/>
    </row>
    <row r="1624" spans="1:7" s="169" customFormat="1">
      <c r="A1624" s="31">
        <f>+A1622+1</f>
        <v>45</v>
      </c>
      <c r="B1624" s="6" t="s">
        <v>1572</v>
      </c>
      <c r="C1624" s="10" t="s">
        <v>1566</v>
      </c>
      <c r="D1624" s="104">
        <v>1454545</v>
      </c>
      <c r="E1624" s="104"/>
      <c r="F1624" s="104"/>
      <c r="G1624" s="168"/>
    </row>
    <row r="1625" spans="1:7" s="169" customFormat="1">
      <c r="A1625" s="31">
        <f>+A1624+1</f>
        <v>46</v>
      </c>
      <c r="B1625" s="6" t="s">
        <v>1573</v>
      </c>
      <c r="C1625" s="10" t="s">
        <v>1566</v>
      </c>
      <c r="D1625" s="104">
        <v>9818182</v>
      </c>
      <c r="E1625" s="104"/>
      <c r="F1625" s="104"/>
      <c r="G1625" s="168"/>
    </row>
    <row r="1626" spans="1:7" s="169" customFormat="1">
      <c r="A1626" s="31"/>
      <c r="B1626" s="8" t="s">
        <v>1574</v>
      </c>
      <c r="C1626" s="10"/>
      <c r="D1626" s="104"/>
      <c r="E1626" s="104"/>
      <c r="F1626" s="104"/>
      <c r="G1626" s="168"/>
    </row>
    <row r="1627" spans="1:7" s="169" customFormat="1">
      <c r="A1627" s="31">
        <f>+A1625+1</f>
        <v>47</v>
      </c>
      <c r="B1627" s="6" t="s">
        <v>1575</v>
      </c>
      <c r="C1627" s="10" t="s">
        <v>1566</v>
      </c>
      <c r="D1627" s="104">
        <v>1636364</v>
      </c>
      <c r="E1627" s="104"/>
      <c r="F1627" s="104"/>
      <c r="G1627" s="168"/>
    </row>
    <row r="1628" spans="1:7" s="169" customFormat="1">
      <c r="A1628" s="31">
        <f>+A1627+1</f>
        <v>48</v>
      </c>
      <c r="B1628" s="6" t="s">
        <v>1576</v>
      </c>
      <c r="C1628" s="10" t="s">
        <v>1566</v>
      </c>
      <c r="D1628" s="104">
        <v>12000000</v>
      </c>
      <c r="E1628" s="104"/>
      <c r="F1628" s="104"/>
      <c r="G1628" s="168"/>
    </row>
    <row r="1629" spans="1:7" s="169" customFormat="1">
      <c r="A1629" s="31"/>
      <c r="B1629" s="8" t="s">
        <v>1577</v>
      </c>
      <c r="C1629" s="10"/>
      <c r="D1629" s="104"/>
      <c r="E1629" s="104"/>
      <c r="F1629" s="104"/>
      <c r="G1629" s="168"/>
    </row>
    <row r="1630" spans="1:7" s="169" customFormat="1">
      <c r="A1630" s="31">
        <f>+A1628+1</f>
        <v>49</v>
      </c>
      <c r="B1630" s="6" t="s">
        <v>1578</v>
      </c>
      <c r="C1630" s="10" t="s">
        <v>1566</v>
      </c>
      <c r="D1630" s="104">
        <v>7727273</v>
      </c>
      <c r="E1630" s="104"/>
      <c r="F1630" s="104"/>
      <c r="G1630" s="168"/>
    </row>
    <row r="1631" spans="1:7" s="169" customFormat="1">
      <c r="A1631" s="31">
        <f>+A1630+1</f>
        <v>50</v>
      </c>
      <c r="B1631" s="6" t="s">
        <v>1579</v>
      </c>
      <c r="C1631" s="10" t="s">
        <v>1566</v>
      </c>
      <c r="D1631" s="104">
        <v>36636364</v>
      </c>
      <c r="E1631" s="104"/>
      <c r="F1631" s="104"/>
      <c r="G1631" s="168"/>
    </row>
    <row r="1632" spans="1:7" s="169" customFormat="1">
      <c r="A1632" s="31"/>
      <c r="B1632" s="8" t="s">
        <v>1580</v>
      </c>
      <c r="C1632" s="10"/>
      <c r="D1632" s="104"/>
      <c r="E1632" s="104"/>
      <c r="F1632" s="104"/>
      <c r="G1632" s="168"/>
    </row>
    <row r="1633" spans="1:7" s="169" customFormat="1">
      <c r="A1633" s="31">
        <f>+A1631+1</f>
        <v>51</v>
      </c>
      <c r="B1633" s="6" t="s">
        <v>1581</v>
      </c>
      <c r="C1633" s="10" t="s">
        <v>1566</v>
      </c>
      <c r="D1633" s="104">
        <v>9045455</v>
      </c>
      <c r="E1633" s="104"/>
      <c r="F1633" s="104"/>
      <c r="G1633" s="168"/>
    </row>
    <row r="1634" spans="1:7" s="169" customFormat="1">
      <c r="A1634" s="31">
        <f>+A1633+1</f>
        <v>52</v>
      </c>
      <c r="B1634" s="6" t="s">
        <v>1582</v>
      </c>
      <c r="C1634" s="10" t="s">
        <v>1566</v>
      </c>
      <c r="D1634" s="104">
        <v>42909091</v>
      </c>
      <c r="E1634" s="104"/>
      <c r="F1634" s="104"/>
      <c r="G1634" s="168"/>
    </row>
    <row r="1635" spans="1:7" s="169" customFormat="1">
      <c r="A1635" s="31"/>
      <c r="B1635" s="8" t="s">
        <v>1583</v>
      </c>
      <c r="C1635" s="10"/>
      <c r="D1635" s="104"/>
      <c r="E1635" s="104"/>
      <c r="F1635" s="104"/>
      <c r="G1635" s="168"/>
    </row>
    <row r="1636" spans="1:7" s="169" customFormat="1">
      <c r="A1636" s="31">
        <f>+A1634+1</f>
        <v>53</v>
      </c>
      <c r="B1636" s="6" t="s">
        <v>1584</v>
      </c>
      <c r="C1636" s="10" t="s">
        <v>1566</v>
      </c>
      <c r="D1636" s="104">
        <v>10363636</v>
      </c>
      <c r="E1636" s="104"/>
      <c r="F1636" s="104"/>
      <c r="G1636" s="168"/>
    </row>
    <row r="1637" spans="1:7" s="169" customFormat="1">
      <c r="A1637" s="31">
        <f>+A1636+1</f>
        <v>54</v>
      </c>
      <c r="B1637" s="6" t="s">
        <v>1585</v>
      </c>
      <c r="C1637" s="10" t="s">
        <v>1566</v>
      </c>
      <c r="D1637" s="104">
        <v>48909091</v>
      </c>
      <c r="E1637" s="104"/>
      <c r="F1637" s="104"/>
      <c r="G1637" s="168"/>
    </row>
    <row r="1638" spans="1:7" s="169" customFormat="1">
      <c r="A1638" s="31"/>
      <c r="B1638" s="8" t="s">
        <v>1586</v>
      </c>
      <c r="C1638" s="10"/>
      <c r="D1638" s="104"/>
      <c r="E1638" s="104"/>
      <c r="F1638" s="104"/>
      <c r="G1638" s="168"/>
    </row>
    <row r="1639" spans="1:7" s="169" customFormat="1">
      <c r="A1639" s="31">
        <f>+A1637+1</f>
        <v>55</v>
      </c>
      <c r="B1639" s="6" t="s">
        <v>1584</v>
      </c>
      <c r="C1639" s="10" t="s">
        <v>1566</v>
      </c>
      <c r="D1639" s="104">
        <v>8545455</v>
      </c>
      <c r="E1639" s="104"/>
      <c r="F1639" s="104"/>
      <c r="G1639" s="168"/>
    </row>
    <row r="1640" spans="1:7" s="169" customFormat="1">
      <c r="A1640" s="31">
        <f>+A1639+1</f>
        <v>56</v>
      </c>
      <c r="B1640" s="6" t="s">
        <v>1585</v>
      </c>
      <c r="C1640" s="10" t="s">
        <v>1566</v>
      </c>
      <c r="D1640" s="104">
        <v>42636364</v>
      </c>
      <c r="E1640" s="104"/>
      <c r="F1640" s="104"/>
      <c r="G1640" s="168"/>
    </row>
    <row r="1641" spans="1:7" s="169" customFormat="1">
      <c r="A1641" s="31"/>
      <c r="B1641" s="8" t="s">
        <v>1587</v>
      </c>
      <c r="C1641" s="10"/>
      <c r="D1641" s="104"/>
      <c r="E1641" s="104"/>
      <c r="F1641" s="104"/>
      <c r="G1641" s="168"/>
    </row>
    <row r="1642" spans="1:7" s="169" customFormat="1">
      <c r="A1642" s="31">
        <f>+A1640+1</f>
        <v>57</v>
      </c>
      <c r="B1642" s="6" t="s">
        <v>1584</v>
      </c>
      <c r="C1642" s="10" t="s">
        <v>1566</v>
      </c>
      <c r="D1642" s="104">
        <v>12227273</v>
      </c>
      <c r="E1642" s="104"/>
      <c r="F1642" s="104"/>
      <c r="G1642" s="168"/>
    </row>
    <row r="1643" spans="1:7" s="169" customFormat="1">
      <c r="A1643" s="31">
        <f>+A1642+1</f>
        <v>58</v>
      </c>
      <c r="B1643" s="6" t="s">
        <v>1585</v>
      </c>
      <c r="C1643" s="10" t="s">
        <v>1566</v>
      </c>
      <c r="D1643" s="104">
        <v>56863636</v>
      </c>
      <c r="E1643" s="104"/>
      <c r="F1643" s="104"/>
      <c r="G1643" s="168"/>
    </row>
    <row r="1644" spans="1:7" s="169" customFormat="1">
      <c r="A1644" s="31"/>
      <c r="B1644" s="8" t="s">
        <v>1588</v>
      </c>
      <c r="C1644" s="12"/>
      <c r="D1644" s="104"/>
      <c r="E1644" s="104"/>
      <c r="F1644" s="104"/>
      <c r="G1644" s="168"/>
    </row>
    <row r="1645" spans="1:7" s="169" customFormat="1">
      <c r="A1645" s="31">
        <f>+A1643+1</f>
        <v>59</v>
      </c>
      <c r="B1645" s="23" t="s">
        <v>1589</v>
      </c>
      <c r="C1645" s="10" t="s">
        <v>135</v>
      </c>
      <c r="D1645" s="104">
        <f>1200000/1.1</f>
        <v>1090909.0909090908</v>
      </c>
      <c r="E1645" s="104"/>
      <c r="F1645" s="104"/>
      <c r="G1645" s="168"/>
    </row>
    <row r="1646" spans="1:7" s="169" customFormat="1">
      <c r="A1646" s="31">
        <f>+A1645+1</f>
        <v>60</v>
      </c>
      <c r="B1646" s="23" t="s">
        <v>1590</v>
      </c>
      <c r="C1646" s="10" t="s">
        <v>135</v>
      </c>
      <c r="D1646" s="104">
        <v>745545</v>
      </c>
      <c r="E1646" s="104"/>
      <c r="F1646" s="104"/>
      <c r="G1646" s="168"/>
    </row>
    <row r="1647" spans="1:7" s="169" customFormat="1">
      <c r="A1647" s="31">
        <f>+A1646+1</f>
        <v>61</v>
      </c>
      <c r="B1647" s="23" t="s">
        <v>1591</v>
      </c>
      <c r="C1647" s="10" t="s">
        <v>135</v>
      </c>
      <c r="D1647" s="104">
        <f>1400000/1.1</f>
        <v>1272727.2727272727</v>
      </c>
      <c r="E1647" s="104"/>
      <c r="F1647" s="104"/>
      <c r="G1647" s="168"/>
    </row>
    <row r="1648" spans="1:7" s="169" customFormat="1">
      <c r="A1648" s="39">
        <f>+A1647+1</f>
        <v>62</v>
      </c>
      <c r="B1648" s="103" t="s">
        <v>1592</v>
      </c>
      <c r="C1648" s="38" t="s">
        <v>135</v>
      </c>
      <c r="D1648" s="109">
        <f>2400000/1.1</f>
        <v>2181818.1818181816</v>
      </c>
      <c r="E1648" s="109"/>
      <c r="F1648" s="109"/>
      <c r="G1648" s="168"/>
    </row>
    <row r="1649" spans="1:7" s="169" customFormat="1" ht="32.1" customHeight="1">
      <c r="A1649" s="34"/>
      <c r="B1649" s="235" t="s">
        <v>1593</v>
      </c>
      <c r="C1649" s="236"/>
      <c r="D1649" s="236"/>
      <c r="E1649" s="236"/>
      <c r="F1649" s="237"/>
      <c r="G1649" s="168"/>
    </row>
    <row r="1650" spans="1:7" s="169" customFormat="1">
      <c r="A1650" s="31"/>
      <c r="B1650" s="8" t="s">
        <v>1594</v>
      </c>
      <c r="C1650" s="49"/>
      <c r="D1650" s="138"/>
      <c r="E1650" s="138"/>
      <c r="F1650" s="138"/>
      <c r="G1650" s="168"/>
    </row>
    <row r="1651" spans="1:7" s="169" customFormat="1">
      <c r="A1651" s="31"/>
      <c r="B1651" s="8" t="s">
        <v>1595</v>
      </c>
      <c r="C1651" s="49"/>
      <c r="D1651" s="138"/>
      <c r="E1651" s="138"/>
      <c r="F1651" s="138"/>
      <c r="G1651" s="168"/>
    </row>
    <row r="1652" spans="1:7" s="169" customFormat="1">
      <c r="A1652" s="31">
        <v>1</v>
      </c>
      <c r="B1652" s="6" t="s">
        <v>1596</v>
      </c>
      <c r="C1652" s="10" t="s">
        <v>1509</v>
      </c>
      <c r="D1652" s="104">
        <v>54390000</v>
      </c>
      <c r="E1652" s="104"/>
      <c r="F1652" s="104"/>
      <c r="G1652" s="168"/>
    </row>
    <row r="1653" spans="1:7" s="169" customFormat="1">
      <c r="A1653" s="31"/>
      <c r="B1653" s="8" t="s">
        <v>1597</v>
      </c>
      <c r="C1653" s="10"/>
      <c r="D1653" s="104"/>
      <c r="E1653" s="104"/>
      <c r="F1653" s="104"/>
      <c r="G1653" s="168"/>
    </row>
    <row r="1654" spans="1:7" s="169" customFormat="1">
      <c r="A1654" s="31">
        <f>+A1652+1</f>
        <v>2</v>
      </c>
      <c r="B1654" s="6" t="s">
        <v>1598</v>
      </c>
      <c r="C1654" s="10" t="s">
        <v>1509</v>
      </c>
      <c r="D1654" s="104">
        <v>41000000</v>
      </c>
      <c r="E1654" s="104"/>
      <c r="F1654" s="104"/>
      <c r="G1654" s="168"/>
    </row>
    <row r="1655" spans="1:7" s="169" customFormat="1">
      <c r="A1655" s="31"/>
      <c r="B1655" s="8" t="s">
        <v>1599</v>
      </c>
      <c r="C1655" s="10"/>
      <c r="D1655" s="104"/>
      <c r="E1655" s="104"/>
      <c r="F1655" s="104"/>
      <c r="G1655" s="168"/>
    </row>
    <row r="1656" spans="1:7" s="169" customFormat="1">
      <c r="A1656" s="31">
        <f>+A1654+1</f>
        <v>3</v>
      </c>
      <c r="B1656" s="6" t="s">
        <v>1600</v>
      </c>
      <c r="C1656" s="10" t="s">
        <v>135</v>
      </c>
      <c r="D1656" s="104">
        <v>8500000</v>
      </c>
      <c r="E1656" s="104"/>
      <c r="F1656" s="104"/>
      <c r="G1656" s="168"/>
    </row>
    <row r="1657" spans="1:7" s="169" customFormat="1">
      <c r="A1657" s="31">
        <f t="shared" ref="A1657:A1662" si="65">+A1656+1</f>
        <v>4</v>
      </c>
      <c r="B1657" s="6" t="s">
        <v>1601</v>
      </c>
      <c r="C1657" s="10" t="s">
        <v>135</v>
      </c>
      <c r="D1657" s="104">
        <v>2700000</v>
      </c>
      <c r="E1657" s="104"/>
      <c r="F1657" s="104"/>
      <c r="G1657" s="168"/>
    </row>
    <row r="1658" spans="1:7" s="169" customFormat="1" ht="16.5">
      <c r="A1658" s="31">
        <f t="shared" si="65"/>
        <v>5</v>
      </c>
      <c r="B1658" s="6" t="s">
        <v>1602</v>
      </c>
      <c r="C1658" s="10" t="s">
        <v>1603</v>
      </c>
      <c r="D1658" s="104">
        <v>60000000</v>
      </c>
      <c r="E1658" s="104"/>
      <c r="F1658" s="104"/>
      <c r="G1658" s="168"/>
    </row>
    <row r="1659" spans="1:7" s="169" customFormat="1" ht="16.5">
      <c r="A1659" s="31">
        <f t="shared" si="65"/>
        <v>6</v>
      </c>
      <c r="B1659" s="6" t="s">
        <v>1604</v>
      </c>
      <c r="C1659" s="10" t="s">
        <v>135</v>
      </c>
      <c r="D1659" s="104">
        <v>13500000</v>
      </c>
      <c r="E1659" s="104"/>
      <c r="F1659" s="104"/>
      <c r="G1659" s="168"/>
    </row>
    <row r="1660" spans="1:7" s="169" customFormat="1">
      <c r="A1660" s="31">
        <f t="shared" si="65"/>
        <v>7</v>
      </c>
      <c r="B1660" s="6" t="s">
        <v>1605</v>
      </c>
      <c r="C1660" s="10" t="s">
        <v>1566</v>
      </c>
      <c r="D1660" s="104">
        <v>11500000</v>
      </c>
      <c r="E1660" s="104"/>
      <c r="F1660" s="104"/>
      <c r="G1660" s="168"/>
    </row>
    <row r="1661" spans="1:7" s="169" customFormat="1">
      <c r="A1661" s="31">
        <f t="shared" si="65"/>
        <v>8</v>
      </c>
      <c r="B1661" s="6" t="s">
        <v>1606</v>
      </c>
      <c r="C1661" s="10" t="s">
        <v>119</v>
      </c>
      <c r="D1661" s="104">
        <v>13519000</v>
      </c>
      <c r="E1661" s="104"/>
      <c r="F1661" s="104"/>
      <c r="G1661" s="168"/>
    </row>
    <row r="1662" spans="1:7" s="169" customFormat="1">
      <c r="A1662" s="31">
        <f t="shared" si="65"/>
        <v>9</v>
      </c>
      <c r="B1662" s="6" t="s">
        <v>1607</v>
      </c>
      <c r="C1662" s="10" t="s">
        <v>1608</v>
      </c>
      <c r="D1662" s="104">
        <v>12300000</v>
      </c>
      <c r="E1662" s="104"/>
      <c r="F1662" s="104"/>
      <c r="G1662" s="168"/>
    </row>
    <row r="1663" spans="1:7" s="169" customFormat="1">
      <c r="A1663" s="31"/>
      <c r="B1663" s="8" t="s">
        <v>1609</v>
      </c>
      <c r="C1663" s="10"/>
      <c r="D1663" s="104" t="s">
        <v>68</v>
      </c>
      <c r="E1663" s="104"/>
      <c r="F1663" s="104"/>
      <c r="G1663" s="168"/>
    </row>
    <row r="1664" spans="1:7" s="169" customFormat="1">
      <c r="A1664" s="31"/>
      <c r="B1664" s="8" t="s">
        <v>1610</v>
      </c>
      <c r="C1664" s="49"/>
      <c r="D1664" s="104"/>
      <c r="E1664" s="104"/>
      <c r="F1664" s="104"/>
      <c r="G1664" s="168"/>
    </row>
    <row r="1665" spans="1:7" s="169" customFormat="1">
      <c r="A1665" s="31">
        <f>+A1662+1</f>
        <v>10</v>
      </c>
      <c r="B1665" s="6" t="s">
        <v>1611</v>
      </c>
      <c r="C1665" s="10" t="s">
        <v>1509</v>
      </c>
      <c r="D1665" s="104">
        <v>41000000</v>
      </c>
      <c r="E1665" s="104"/>
      <c r="F1665" s="104"/>
      <c r="G1665" s="168"/>
    </row>
    <row r="1666" spans="1:7" s="169" customFormat="1">
      <c r="A1666" s="31"/>
      <c r="B1666" s="8" t="s">
        <v>1612</v>
      </c>
      <c r="C1666" s="49"/>
      <c r="D1666" s="104"/>
      <c r="E1666" s="104"/>
      <c r="F1666" s="104"/>
      <c r="G1666" s="168"/>
    </row>
    <row r="1667" spans="1:7" s="169" customFormat="1">
      <c r="A1667" s="31">
        <f>+A1665+1</f>
        <v>11</v>
      </c>
      <c r="B1667" s="6" t="s">
        <v>1613</v>
      </c>
      <c r="C1667" s="10" t="s">
        <v>1509</v>
      </c>
      <c r="D1667" s="104">
        <v>28500000</v>
      </c>
      <c r="E1667" s="104"/>
      <c r="F1667" s="104"/>
      <c r="G1667" s="168"/>
    </row>
    <row r="1668" spans="1:7" s="169" customFormat="1">
      <c r="A1668" s="31"/>
      <c r="B1668" s="8" t="s">
        <v>1599</v>
      </c>
      <c r="C1668" s="49"/>
      <c r="D1668" s="104"/>
      <c r="E1668" s="104"/>
      <c r="F1668" s="104"/>
      <c r="G1668" s="168"/>
    </row>
    <row r="1669" spans="1:7" s="169" customFormat="1">
      <c r="A1669" s="31">
        <f>+A1667+1</f>
        <v>12</v>
      </c>
      <c r="B1669" s="6" t="s">
        <v>1600</v>
      </c>
      <c r="C1669" s="10" t="s">
        <v>135</v>
      </c>
      <c r="D1669" s="104">
        <v>7800000</v>
      </c>
      <c r="E1669" s="104"/>
      <c r="F1669" s="104"/>
      <c r="G1669" s="168"/>
    </row>
    <row r="1670" spans="1:7" s="169" customFormat="1">
      <c r="A1670" s="31">
        <f t="shared" ref="A1670:A1675" si="66">+A1669+1</f>
        <v>13</v>
      </c>
      <c r="B1670" s="6" t="s">
        <v>1601</v>
      </c>
      <c r="C1670" s="10" t="s">
        <v>135</v>
      </c>
      <c r="D1670" s="104">
        <v>2200000</v>
      </c>
      <c r="E1670" s="104"/>
      <c r="F1670" s="104"/>
      <c r="G1670" s="168"/>
    </row>
    <row r="1671" spans="1:7" s="169" customFormat="1" ht="16.5">
      <c r="A1671" s="31">
        <f t="shared" si="66"/>
        <v>14</v>
      </c>
      <c r="B1671" s="6" t="s">
        <v>1614</v>
      </c>
      <c r="C1671" s="10" t="s">
        <v>1603</v>
      </c>
      <c r="D1671" s="104">
        <v>42000000</v>
      </c>
      <c r="E1671" s="104"/>
      <c r="F1671" s="104"/>
      <c r="G1671" s="168"/>
    </row>
    <row r="1672" spans="1:7" s="169" customFormat="1" ht="16.5">
      <c r="A1672" s="31">
        <f t="shared" si="66"/>
        <v>15</v>
      </c>
      <c r="B1672" s="6" t="s">
        <v>1604</v>
      </c>
      <c r="C1672" s="10" t="s">
        <v>135</v>
      </c>
      <c r="D1672" s="104">
        <v>14500000</v>
      </c>
      <c r="E1672" s="104"/>
      <c r="F1672" s="104"/>
      <c r="G1672" s="168"/>
    </row>
    <row r="1673" spans="1:7" s="169" customFormat="1">
      <c r="A1673" s="31">
        <f t="shared" si="66"/>
        <v>16</v>
      </c>
      <c r="B1673" s="6" t="s">
        <v>1615</v>
      </c>
      <c r="C1673" s="10" t="s">
        <v>1566</v>
      </c>
      <c r="D1673" s="104">
        <v>8900000</v>
      </c>
      <c r="E1673" s="104"/>
      <c r="F1673" s="104"/>
      <c r="G1673" s="168"/>
    </row>
    <row r="1674" spans="1:7" s="169" customFormat="1">
      <c r="A1674" s="31">
        <f t="shared" si="66"/>
        <v>17</v>
      </c>
      <c r="B1674" s="6" t="s">
        <v>1616</v>
      </c>
      <c r="C1674" s="10" t="s">
        <v>119</v>
      </c>
      <c r="D1674" s="104">
        <v>14500000</v>
      </c>
      <c r="E1674" s="104"/>
      <c r="F1674" s="104"/>
      <c r="G1674" s="168"/>
    </row>
    <row r="1675" spans="1:7" s="169" customFormat="1">
      <c r="A1675" s="39">
        <f t="shared" si="66"/>
        <v>18</v>
      </c>
      <c r="B1675" s="78" t="s">
        <v>1607</v>
      </c>
      <c r="C1675" s="38" t="s">
        <v>1608</v>
      </c>
      <c r="D1675" s="109">
        <v>15500000</v>
      </c>
      <c r="E1675" s="109"/>
      <c r="F1675" s="109"/>
      <c r="G1675" s="168"/>
    </row>
    <row r="1676" spans="1:7" s="169" customFormat="1" ht="15.75">
      <c r="A1676" s="176" t="s">
        <v>1617</v>
      </c>
      <c r="B1676" s="213" t="s">
        <v>1618</v>
      </c>
      <c r="C1676" s="213"/>
      <c r="D1676" s="213"/>
      <c r="E1676" s="213"/>
      <c r="F1676" s="213"/>
      <c r="G1676" s="168"/>
    </row>
    <row r="1677" spans="1:7" s="169" customFormat="1">
      <c r="A1677" s="31">
        <v>1</v>
      </c>
      <c r="B1677" s="6" t="s">
        <v>1619</v>
      </c>
      <c r="C1677" s="10" t="s">
        <v>78</v>
      </c>
      <c r="D1677" s="126"/>
      <c r="E1677" s="104">
        <v>14000</v>
      </c>
      <c r="F1677" s="104"/>
      <c r="G1677" s="168"/>
    </row>
    <row r="1678" spans="1:7" s="169" customFormat="1">
      <c r="A1678" s="31">
        <f t="shared" ref="A1678:A1689" si="67">+A1677+1</f>
        <v>2</v>
      </c>
      <c r="B1678" s="6" t="s">
        <v>1620</v>
      </c>
      <c r="C1678" s="10" t="s">
        <v>450</v>
      </c>
      <c r="D1678" s="126"/>
      <c r="E1678" s="104">
        <v>1000</v>
      </c>
      <c r="F1678" s="104"/>
      <c r="G1678" s="168"/>
    </row>
    <row r="1679" spans="1:7" s="169" customFormat="1">
      <c r="A1679" s="31">
        <f t="shared" si="67"/>
        <v>3</v>
      </c>
      <c r="B1679" s="6" t="s">
        <v>1621</v>
      </c>
      <c r="C1679" s="10" t="s">
        <v>78</v>
      </c>
      <c r="D1679" s="126"/>
      <c r="E1679" s="104">
        <f>70000/1.1</f>
        <v>63636.363636363632</v>
      </c>
      <c r="F1679" s="104"/>
      <c r="G1679" s="168"/>
    </row>
    <row r="1680" spans="1:7" s="169" customFormat="1">
      <c r="A1680" s="31">
        <f t="shared" si="67"/>
        <v>4</v>
      </c>
      <c r="B1680" s="6" t="s">
        <v>1622</v>
      </c>
      <c r="C1680" s="10" t="s">
        <v>78</v>
      </c>
      <c r="D1680" s="126"/>
      <c r="E1680" s="104">
        <f>38000/1.1</f>
        <v>34545.454545454544</v>
      </c>
      <c r="F1680" s="104"/>
      <c r="G1680" s="168"/>
    </row>
    <row r="1681" spans="1:7" s="169" customFormat="1">
      <c r="A1681" s="31">
        <f t="shared" si="67"/>
        <v>5</v>
      </c>
      <c r="B1681" s="6" t="s">
        <v>1623</v>
      </c>
      <c r="C1681" s="10" t="s">
        <v>78</v>
      </c>
      <c r="D1681" s="126"/>
      <c r="E1681" s="104">
        <f>27000/1.1</f>
        <v>24545.454545454544</v>
      </c>
      <c r="F1681" s="104"/>
      <c r="G1681" s="168"/>
    </row>
    <row r="1682" spans="1:7" s="169" customFormat="1">
      <c r="A1682" s="31">
        <f t="shared" si="67"/>
        <v>6</v>
      </c>
      <c r="B1682" s="6" t="s">
        <v>1624</v>
      </c>
      <c r="C1682" s="10" t="s">
        <v>78</v>
      </c>
      <c r="D1682" s="167"/>
      <c r="E1682" s="104">
        <v>14545</v>
      </c>
      <c r="F1682" s="104"/>
      <c r="G1682" s="168"/>
    </row>
    <row r="1683" spans="1:7" s="169" customFormat="1">
      <c r="A1683" s="31">
        <f t="shared" si="67"/>
        <v>7</v>
      </c>
      <c r="B1683" s="6" t="s">
        <v>1625</v>
      </c>
      <c r="C1683" s="10" t="s">
        <v>78</v>
      </c>
      <c r="D1683" s="167"/>
      <c r="E1683" s="104">
        <v>14545</v>
      </c>
      <c r="F1683" s="104"/>
      <c r="G1683" s="168"/>
    </row>
    <row r="1684" spans="1:7" s="169" customFormat="1">
      <c r="A1684" s="31">
        <f t="shared" si="67"/>
        <v>8</v>
      </c>
      <c r="B1684" s="6" t="s">
        <v>1626</v>
      </c>
      <c r="C1684" s="10" t="s">
        <v>78</v>
      </c>
      <c r="D1684" s="167"/>
      <c r="E1684" s="104">
        <v>14273</v>
      </c>
      <c r="F1684" s="104"/>
      <c r="G1684" s="168"/>
    </row>
    <row r="1685" spans="1:7" s="169" customFormat="1">
      <c r="A1685" s="31">
        <f t="shared" si="67"/>
        <v>9</v>
      </c>
      <c r="B1685" s="6" t="s">
        <v>1627</v>
      </c>
      <c r="C1685" s="10" t="s">
        <v>78</v>
      </c>
      <c r="D1685" s="167"/>
      <c r="E1685" s="104">
        <v>14545</v>
      </c>
      <c r="F1685" s="104"/>
      <c r="G1685" s="168"/>
    </row>
    <row r="1686" spans="1:7" s="169" customFormat="1">
      <c r="A1686" s="31">
        <f t="shared" si="67"/>
        <v>10</v>
      </c>
      <c r="B1686" s="6" t="s">
        <v>1628</v>
      </c>
      <c r="C1686" s="10" t="s">
        <v>78</v>
      </c>
      <c r="D1686" s="167"/>
      <c r="E1686" s="104">
        <v>2800</v>
      </c>
      <c r="F1686" s="104"/>
      <c r="G1686" s="168"/>
    </row>
    <row r="1687" spans="1:7" s="169" customFormat="1">
      <c r="A1687" s="31">
        <f t="shared" si="67"/>
        <v>11</v>
      </c>
      <c r="B1687" s="6" t="s">
        <v>1629</v>
      </c>
      <c r="C1687" s="10" t="s">
        <v>1630</v>
      </c>
      <c r="D1687" s="167"/>
      <c r="E1687" s="104">
        <f>14000/1.1</f>
        <v>12727.272727272726</v>
      </c>
      <c r="F1687" s="104"/>
      <c r="G1687" s="168"/>
    </row>
    <row r="1688" spans="1:7" s="169" customFormat="1">
      <c r="A1688" s="31">
        <f t="shared" si="67"/>
        <v>12</v>
      </c>
      <c r="B1688" s="6" t="s">
        <v>1631</v>
      </c>
      <c r="C1688" s="10" t="s">
        <v>398</v>
      </c>
      <c r="D1688" s="126"/>
      <c r="E1688" s="104">
        <f>450000/1.1</f>
        <v>409090.90909090906</v>
      </c>
      <c r="F1688" s="104"/>
      <c r="G1688" s="168"/>
    </row>
    <row r="1689" spans="1:7" s="169" customFormat="1">
      <c r="A1689" s="39">
        <f t="shared" si="67"/>
        <v>13</v>
      </c>
      <c r="B1689" s="78" t="s">
        <v>1632</v>
      </c>
      <c r="C1689" s="38" t="s">
        <v>78</v>
      </c>
      <c r="D1689" s="109"/>
      <c r="E1689" s="109">
        <v>17273</v>
      </c>
      <c r="F1689" s="109"/>
      <c r="G1689" s="168"/>
    </row>
    <row r="1690" spans="1:7" s="169" customFormat="1" ht="30" customHeight="1">
      <c r="A1690" s="175" t="s">
        <v>1633</v>
      </c>
      <c r="B1690" s="213" t="s">
        <v>1634</v>
      </c>
      <c r="C1690" s="213"/>
      <c r="D1690" s="213"/>
      <c r="E1690" s="213"/>
      <c r="F1690" s="213"/>
      <c r="G1690" s="168"/>
    </row>
    <row r="1691" spans="1:7" s="169" customFormat="1" ht="30" customHeight="1">
      <c r="A1691" s="30"/>
      <c r="B1691" s="213" t="s">
        <v>1635</v>
      </c>
      <c r="C1691" s="213"/>
      <c r="D1691" s="213"/>
      <c r="E1691" s="213"/>
      <c r="F1691" s="213"/>
      <c r="G1691" s="168"/>
    </row>
    <row r="1692" spans="1:7" s="169" customFormat="1">
      <c r="A1692" s="34">
        <v>1</v>
      </c>
      <c r="B1692" s="6" t="s">
        <v>1636</v>
      </c>
      <c r="C1692" s="10" t="s">
        <v>1637</v>
      </c>
      <c r="D1692" s="104"/>
      <c r="E1692" s="104">
        <v>14982</v>
      </c>
      <c r="F1692" s="104">
        <v>14982</v>
      </c>
      <c r="G1692" s="168"/>
    </row>
    <row r="1693" spans="1:7" s="169" customFormat="1">
      <c r="A1693" s="34">
        <f>+A1692+1</f>
        <v>2</v>
      </c>
      <c r="B1693" s="6" t="s">
        <v>1638</v>
      </c>
      <c r="C1693" s="10" t="s">
        <v>1637</v>
      </c>
      <c r="D1693" s="104"/>
      <c r="E1693" s="104">
        <v>14345</v>
      </c>
      <c r="F1693" s="104">
        <v>14345</v>
      </c>
      <c r="G1693" s="168"/>
    </row>
    <row r="1694" spans="1:7" s="169" customFormat="1">
      <c r="A1694" s="34">
        <f>+A1693+1</f>
        <v>3</v>
      </c>
      <c r="B1694" s="6" t="s">
        <v>1639</v>
      </c>
      <c r="C1694" s="10" t="s">
        <v>1637</v>
      </c>
      <c r="D1694" s="104"/>
      <c r="E1694" s="104">
        <v>13882</v>
      </c>
      <c r="F1694" s="104">
        <v>13882</v>
      </c>
      <c r="G1694" s="168"/>
    </row>
    <row r="1695" spans="1:7" s="169" customFormat="1">
      <c r="A1695" s="34">
        <f>+A1694+1</f>
        <v>4</v>
      </c>
      <c r="B1695" s="6" t="s">
        <v>1640</v>
      </c>
      <c r="C1695" s="10" t="s">
        <v>1637</v>
      </c>
      <c r="D1695" s="104"/>
      <c r="E1695" s="104">
        <v>10200</v>
      </c>
      <c r="F1695" s="104">
        <v>10200</v>
      </c>
      <c r="G1695" s="168"/>
    </row>
    <row r="1696" spans="1:7" s="169" customFormat="1">
      <c r="A1696" s="37">
        <f>+A1695+1</f>
        <v>5</v>
      </c>
      <c r="B1696" s="78" t="s">
        <v>1641</v>
      </c>
      <c r="C1696" s="38" t="s">
        <v>1637</v>
      </c>
      <c r="D1696" s="109"/>
      <c r="E1696" s="109">
        <v>8755</v>
      </c>
      <c r="F1696" s="109">
        <v>8755</v>
      </c>
      <c r="G1696" s="168"/>
    </row>
    <row r="1697" spans="1:7" s="169" customFormat="1" ht="36" customHeight="1">
      <c r="A1697" s="30"/>
      <c r="B1697" s="235" t="s">
        <v>1642</v>
      </c>
      <c r="C1697" s="236"/>
      <c r="D1697" s="236"/>
      <c r="E1697" s="236"/>
      <c r="F1697" s="237"/>
      <c r="G1697" s="168"/>
    </row>
    <row r="1698" spans="1:7" s="169" customFormat="1">
      <c r="A1698" s="34">
        <v>1</v>
      </c>
      <c r="B1698" s="6" t="s">
        <v>1636</v>
      </c>
      <c r="C1698" s="10" t="s">
        <v>1637</v>
      </c>
      <c r="D1698" s="104"/>
      <c r="E1698" s="104">
        <v>15200</v>
      </c>
      <c r="F1698" s="104">
        <v>15200</v>
      </c>
      <c r="G1698" s="168"/>
    </row>
    <row r="1699" spans="1:7" s="169" customFormat="1">
      <c r="A1699" s="34">
        <f>+A1698+1</f>
        <v>2</v>
      </c>
      <c r="B1699" s="6" t="s">
        <v>1638</v>
      </c>
      <c r="C1699" s="10" t="s">
        <v>1637</v>
      </c>
      <c r="D1699" s="104"/>
      <c r="E1699" s="104">
        <v>14564</v>
      </c>
      <c r="F1699" s="104">
        <v>14564</v>
      </c>
      <c r="G1699" s="168"/>
    </row>
    <row r="1700" spans="1:7" s="169" customFormat="1">
      <c r="A1700" s="34">
        <f>+A1699+1</f>
        <v>3</v>
      </c>
      <c r="B1700" s="6" t="s">
        <v>1639</v>
      </c>
      <c r="C1700" s="10" t="s">
        <v>1637</v>
      </c>
      <c r="D1700" s="104"/>
      <c r="E1700" s="104">
        <v>14100</v>
      </c>
      <c r="F1700" s="104">
        <v>14100</v>
      </c>
      <c r="G1700" s="168"/>
    </row>
    <row r="1701" spans="1:7" s="169" customFormat="1">
      <c r="A1701" s="34">
        <f>+A1700+1</f>
        <v>4</v>
      </c>
      <c r="B1701" s="6" t="s">
        <v>1640</v>
      </c>
      <c r="C1701" s="10" t="s">
        <v>1637</v>
      </c>
      <c r="D1701" s="104"/>
      <c r="E1701" s="104">
        <v>10455</v>
      </c>
      <c r="F1701" s="104">
        <v>10455</v>
      </c>
      <c r="G1701" s="168"/>
    </row>
    <row r="1702" spans="1:7" s="169" customFormat="1">
      <c r="A1702" s="37">
        <f>+A1701+1</f>
        <v>5</v>
      </c>
      <c r="B1702" s="78" t="s">
        <v>1641</v>
      </c>
      <c r="C1702" s="38" t="s">
        <v>1637</v>
      </c>
      <c r="D1702" s="109"/>
      <c r="E1702" s="109">
        <v>8936</v>
      </c>
      <c r="F1702" s="109">
        <v>8936</v>
      </c>
      <c r="G1702" s="168"/>
    </row>
    <row r="1703" spans="1:7" s="169" customFormat="1" ht="35.1" customHeight="1">
      <c r="A1703" s="30"/>
      <c r="B1703" s="213" t="s">
        <v>1643</v>
      </c>
      <c r="C1703" s="213"/>
      <c r="D1703" s="213"/>
      <c r="E1703" s="213"/>
      <c r="F1703" s="213"/>
      <c r="G1703" s="168"/>
    </row>
    <row r="1704" spans="1:7" s="169" customFormat="1">
      <c r="A1704" s="10">
        <v>1</v>
      </c>
      <c r="B1704" s="6" t="s">
        <v>1644</v>
      </c>
      <c r="C1704" s="10" t="s">
        <v>548</v>
      </c>
      <c r="D1704" s="105"/>
      <c r="E1704" s="104">
        <f>1068782/1.1</f>
        <v>971619.99999999988</v>
      </c>
      <c r="F1704" s="104">
        <f>E1704</f>
        <v>971619.99999999988</v>
      </c>
      <c r="G1704" s="168"/>
    </row>
    <row r="1705" spans="1:7" s="169" customFormat="1">
      <c r="A1705" s="10">
        <f>+A1704+1</f>
        <v>2</v>
      </c>
      <c r="B1705" s="6" t="s">
        <v>1645</v>
      </c>
      <c r="C1705" s="10" t="s">
        <v>548</v>
      </c>
      <c r="D1705" s="105"/>
      <c r="E1705" s="104">
        <f>7745309/1.1</f>
        <v>7041189.9999999991</v>
      </c>
      <c r="F1705" s="104">
        <f>E1705</f>
        <v>7041189.9999999991</v>
      </c>
      <c r="G1705" s="168"/>
    </row>
    <row r="1706" spans="1:7" s="169" customFormat="1">
      <c r="A1706" s="10">
        <f>+A1705+1</f>
        <v>3</v>
      </c>
      <c r="B1706" s="6" t="s">
        <v>1646</v>
      </c>
      <c r="C1706" s="10" t="s">
        <v>548</v>
      </c>
      <c r="D1706" s="105"/>
      <c r="E1706" s="104">
        <f>1013727/1.1</f>
        <v>921569.99999999988</v>
      </c>
      <c r="F1706" s="104">
        <f>E1706</f>
        <v>921569.99999999988</v>
      </c>
      <c r="G1706" s="168"/>
    </row>
    <row r="1707" spans="1:7" s="169" customFormat="1">
      <c r="A1707" s="10">
        <f>+A1706+1</f>
        <v>4</v>
      </c>
      <c r="B1707" s="6" t="s">
        <v>1647</v>
      </c>
      <c r="C1707" s="10" t="s">
        <v>548</v>
      </c>
      <c r="D1707" s="105"/>
      <c r="E1707" s="104">
        <f>1123837/1.1</f>
        <v>1021669.9999999999</v>
      </c>
      <c r="F1707" s="104">
        <f>E1707</f>
        <v>1021669.9999999999</v>
      </c>
      <c r="G1707" s="168"/>
    </row>
    <row r="1708" spans="1:7" s="169" customFormat="1">
      <c r="A1708" s="38">
        <f>+A1707+1</f>
        <v>5</v>
      </c>
      <c r="B1708" s="78" t="s">
        <v>1648</v>
      </c>
      <c r="C1708" s="38" t="s">
        <v>548</v>
      </c>
      <c r="D1708" s="117"/>
      <c r="E1708" s="109">
        <f>1261117/1.1</f>
        <v>1146470</v>
      </c>
      <c r="F1708" s="109">
        <f>E1708</f>
        <v>1146470</v>
      </c>
      <c r="G1708" s="168"/>
    </row>
    <row r="1709" spans="1:7" ht="15.75">
      <c r="A1709" s="13" t="s">
        <v>1649</v>
      </c>
      <c r="B1709" s="14"/>
      <c r="C1709" s="15"/>
      <c r="D1709" s="16"/>
      <c r="E1709" s="16"/>
      <c r="F1709" s="16"/>
    </row>
    <row r="1710" spans="1:7" ht="31.5" customHeight="1">
      <c r="A1710" s="232" t="s">
        <v>1650</v>
      </c>
      <c r="B1710" s="232"/>
      <c r="C1710" s="232"/>
      <c r="D1710" s="232"/>
      <c r="E1710" s="232"/>
      <c r="F1710" s="232"/>
    </row>
    <row r="1711" spans="1:7" ht="31.5" customHeight="1">
      <c r="A1711" s="232" t="s">
        <v>1651</v>
      </c>
      <c r="B1711" s="232"/>
      <c r="C1711" s="232"/>
      <c r="D1711" s="232"/>
      <c r="E1711" s="232"/>
      <c r="F1711" s="232"/>
    </row>
    <row r="1712" spans="1:7" ht="34.5" customHeight="1">
      <c r="A1712" s="211" t="s">
        <v>1652</v>
      </c>
      <c r="B1712" s="211"/>
      <c r="C1712" s="211"/>
      <c r="D1712" s="211"/>
      <c r="E1712" s="211"/>
      <c r="F1712" s="211"/>
    </row>
    <row r="1713" spans="1:6" ht="18.75">
      <c r="A1713" s="212" t="s">
        <v>1662</v>
      </c>
      <c r="B1713" s="212"/>
      <c r="C1713" s="212" t="s">
        <v>1653</v>
      </c>
      <c r="D1713" s="212"/>
      <c r="E1713" s="212"/>
      <c r="F1713" s="212"/>
    </row>
    <row r="1714" spans="1:6" ht="18.75">
      <c r="A1714" s="212" t="s">
        <v>1663</v>
      </c>
      <c r="B1714" s="212"/>
      <c r="C1714" s="212" t="s">
        <v>1654</v>
      </c>
      <c r="D1714" s="212"/>
      <c r="E1714" s="212"/>
      <c r="F1714" s="212"/>
    </row>
    <row r="1715" spans="1:6" ht="18.75">
      <c r="A1715" s="212" t="s">
        <v>1664</v>
      </c>
      <c r="B1715" s="212"/>
      <c r="C1715" s="212" t="s">
        <v>1664</v>
      </c>
      <c r="D1715" s="212"/>
      <c r="E1715" s="212"/>
      <c r="F1715" s="212"/>
    </row>
    <row r="1716" spans="1:6" ht="18.75">
      <c r="A1716" s="172"/>
      <c r="B1716" s="172"/>
      <c r="C1716" s="172"/>
      <c r="D1716" s="172"/>
      <c r="E1716" s="172"/>
      <c r="F1716" s="172"/>
    </row>
    <row r="1717" spans="1:6" ht="18.75">
      <c r="A1717" s="172"/>
      <c r="B1717" s="172"/>
      <c r="C1717" s="172"/>
      <c r="D1717" s="172"/>
      <c r="E1717" s="172"/>
      <c r="F1717" s="172"/>
    </row>
    <row r="1718" spans="1:6" ht="18.75">
      <c r="A1718" s="172"/>
      <c r="B1718" s="172"/>
      <c r="C1718" s="172"/>
      <c r="D1718" s="172"/>
      <c r="E1718" s="172"/>
      <c r="F1718" s="172"/>
    </row>
    <row r="1719" spans="1:6" ht="18.75">
      <c r="A1719" s="172"/>
      <c r="B1719" s="172"/>
      <c r="C1719" s="172"/>
      <c r="D1719" s="172"/>
      <c r="E1719" s="172"/>
      <c r="F1719" s="172"/>
    </row>
    <row r="1720" spans="1:6" ht="18.75">
      <c r="A1720" s="17"/>
      <c r="B1720" s="18"/>
      <c r="C1720" s="19"/>
      <c r="D1720" s="19"/>
      <c r="E1720" s="19"/>
      <c r="F1720" s="19"/>
    </row>
    <row r="1721" spans="1:6" ht="18.75">
      <c r="A1721" s="17"/>
      <c r="B1721" s="18"/>
      <c r="C1721" s="19"/>
      <c r="D1721" s="19"/>
      <c r="E1721" s="19"/>
      <c r="F1721" s="19"/>
    </row>
    <row r="1722" spans="1:6" ht="18.75">
      <c r="A1722" s="212"/>
      <c r="B1722" s="212"/>
      <c r="C1722" s="212"/>
      <c r="D1722" s="212"/>
      <c r="E1722" s="212"/>
      <c r="F1722" s="212"/>
    </row>
    <row r="1723" spans="1:6" ht="15.75">
      <c r="A1723" s="231" t="s">
        <v>1655</v>
      </c>
      <c r="B1723" s="231"/>
      <c r="C1723" s="20"/>
      <c r="D1723" s="20"/>
      <c r="E1723" s="20"/>
      <c r="F1723" s="20"/>
    </row>
    <row r="1724" spans="1:6">
      <c r="A1724" s="230" t="s">
        <v>1656</v>
      </c>
      <c r="B1724" s="230"/>
      <c r="C1724" s="21"/>
      <c r="D1724" s="21"/>
      <c r="E1724" s="21"/>
      <c r="F1724" s="21"/>
    </row>
    <row r="1725" spans="1:6">
      <c r="A1725" s="230" t="s">
        <v>1657</v>
      </c>
      <c r="B1725" s="230"/>
      <c r="C1725" s="21"/>
      <c r="D1725" s="21"/>
      <c r="E1725" s="21"/>
      <c r="F1725" s="21"/>
    </row>
    <row r="1726" spans="1:6">
      <c r="A1726" s="230" t="s">
        <v>1658</v>
      </c>
      <c r="B1726" s="230"/>
      <c r="C1726" s="21"/>
      <c r="D1726" s="21"/>
      <c r="E1726" s="21"/>
      <c r="F1726" s="21"/>
    </row>
    <row r="1727" spans="1:6">
      <c r="A1727" s="230" t="s">
        <v>1659</v>
      </c>
      <c r="B1727" s="230"/>
      <c r="C1727" s="21"/>
      <c r="D1727" s="21"/>
      <c r="E1727" s="21"/>
      <c r="F1727" s="21"/>
    </row>
    <row r="1728" spans="1:6">
      <c r="A1728" s="230" t="s">
        <v>1660</v>
      </c>
      <c r="B1728" s="230"/>
      <c r="C1728" s="21"/>
      <c r="D1728" s="21"/>
      <c r="E1728" s="21"/>
      <c r="F1728" s="21"/>
    </row>
    <row r="1729" spans="1:6">
      <c r="A1729" s="230" t="s">
        <v>1661</v>
      </c>
      <c r="B1729" s="230"/>
      <c r="C1729" s="21"/>
      <c r="D1729" s="21"/>
      <c r="E1729" s="21"/>
      <c r="F1729" s="21"/>
    </row>
    <row r="1730" spans="1:6">
      <c r="A1730" s="230" t="s">
        <v>1669</v>
      </c>
      <c r="B1730" s="230"/>
      <c r="C1730" s="21"/>
      <c r="D1730" s="21"/>
      <c r="E1730" s="21"/>
      <c r="F1730" s="21"/>
    </row>
  </sheetData>
  <mergeCells count="165">
    <mergeCell ref="B1697:F1697"/>
    <mergeCell ref="B1426:F1426"/>
    <mergeCell ref="B1443:F1443"/>
    <mergeCell ref="B497:F497"/>
    <mergeCell ref="B492:F492"/>
    <mergeCell ref="B1703:F1703"/>
    <mergeCell ref="B1560:F1560"/>
    <mergeCell ref="B1676:F1676"/>
    <mergeCell ref="B1690:F1690"/>
    <mergeCell ref="B1649:F1649"/>
    <mergeCell ref="B1559:F1559"/>
    <mergeCell ref="B1467:F1467"/>
    <mergeCell ref="B1312:F1312"/>
    <mergeCell ref="B517:F517"/>
    <mergeCell ref="B522:F522"/>
    <mergeCell ref="B1691:F1691"/>
    <mergeCell ref="B1517:F1517"/>
    <mergeCell ref="B1472:F1472"/>
    <mergeCell ref="B1476:F1476"/>
    <mergeCell ref="B1487:F1487"/>
    <mergeCell ref="B1501:F1501"/>
    <mergeCell ref="B122:F122"/>
    <mergeCell ref="B193:F193"/>
    <mergeCell ref="B603:F603"/>
    <mergeCell ref="B611:F611"/>
    <mergeCell ref="B487:F487"/>
    <mergeCell ref="B482:F482"/>
    <mergeCell ref="B476:F476"/>
    <mergeCell ref="B457:F457"/>
    <mergeCell ref="B566:F566"/>
    <mergeCell ref="B1549:F1549"/>
    <mergeCell ref="B106:F106"/>
    <mergeCell ref="B618:F618"/>
    <mergeCell ref="B626:F626"/>
    <mergeCell ref="B634:F634"/>
    <mergeCell ref="B638:F638"/>
    <mergeCell ref="B692:F692"/>
    <mergeCell ref="B717:F717"/>
    <mergeCell ref="B728:F728"/>
    <mergeCell ref="B741:F741"/>
    <mergeCell ref="B278:F278"/>
    <mergeCell ref="B107:F107"/>
    <mergeCell ref="B118:F118"/>
    <mergeCell ref="B1518:F1518"/>
    <mergeCell ref="B1531:F1531"/>
    <mergeCell ref="B752:F752"/>
    <mergeCell ref="B525:F525"/>
    <mergeCell ref="B529:F529"/>
    <mergeCell ref="B642:F642"/>
    <mergeCell ref="B655:F655"/>
    <mergeCell ref="B572:F572"/>
    <mergeCell ref="B562:F562"/>
    <mergeCell ref="B552:F552"/>
    <mergeCell ref="B117:F117"/>
    <mergeCell ref="B378:F378"/>
    <mergeCell ref="B674:F674"/>
    <mergeCell ref="B18:F18"/>
    <mergeCell ref="B30:F30"/>
    <mergeCell ref="B44:F44"/>
    <mergeCell ref="B59:F59"/>
    <mergeCell ref="B67:F67"/>
    <mergeCell ref="B80:F80"/>
    <mergeCell ref="B77:F77"/>
    <mergeCell ref="B123:F123"/>
    <mergeCell ref="B152:F152"/>
    <mergeCell ref="B197:F197"/>
    <mergeCell ref="B200:F200"/>
    <mergeCell ref="B376:F376"/>
    <mergeCell ref="B280:F280"/>
    <mergeCell ref="A1729:B1729"/>
    <mergeCell ref="A1730:B1730"/>
    <mergeCell ref="A1710:F1710"/>
    <mergeCell ref="A1711:F1711"/>
    <mergeCell ref="B470:F470"/>
    <mergeCell ref="B478:F478"/>
    <mergeCell ref="B502:F502"/>
    <mergeCell ref="B536:F536"/>
    <mergeCell ref="B551:F551"/>
    <mergeCell ref="A1724:B1724"/>
    <mergeCell ref="B883:F883"/>
    <mergeCell ref="B1216:F1216"/>
    <mergeCell ref="B912:F912"/>
    <mergeCell ref="B930:F930"/>
    <mergeCell ref="A1728:B1728"/>
    <mergeCell ref="A1725:B1725"/>
    <mergeCell ref="A1715:B1715"/>
    <mergeCell ref="A1722:B1722"/>
    <mergeCell ref="A1726:B1726"/>
    <mergeCell ref="B945:F945"/>
    <mergeCell ref="B814:F814"/>
    <mergeCell ref="B815:F815"/>
    <mergeCell ref="B850:F850"/>
    <mergeCell ref="B851:F851"/>
    <mergeCell ref="A1:F1"/>
    <mergeCell ref="A2:F2"/>
    <mergeCell ref="A3:F3"/>
    <mergeCell ref="A4:F4"/>
    <mergeCell ref="A11:F11"/>
    <mergeCell ref="A1727:B1727"/>
    <mergeCell ref="A1713:B1713"/>
    <mergeCell ref="A1714:B1714"/>
    <mergeCell ref="C1715:F1715"/>
    <mergeCell ref="C1722:F1722"/>
    <mergeCell ref="A1723:B1723"/>
    <mergeCell ref="B350:F350"/>
    <mergeCell ref="B358:F358"/>
    <mergeCell ref="B368:F368"/>
    <mergeCell ref="B431:F431"/>
    <mergeCell ref="B441:F441"/>
    <mergeCell ref="B236:F236"/>
    <mergeCell ref="B241:F241"/>
    <mergeCell ref="B268:F268"/>
    <mergeCell ref="B273:F273"/>
    <mergeCell ref="B440:F440"/>
    <mergeCell ref="B861:F861"/>
    <mergeCell ref="B904:F904"/>
    <mergeCell ref="B864:F864"/>
    <mergeCell ref="C1714:F1714"/>
    <mergeCell ref="E14:F14"/>
    <mergeCell ref="A13:A15"/>
    <mergeCell ref="B13:B15"/>
    <mergeCell ref="C13:C15"/>
    <mergeCell ref="D14:D15"/>
    <mergeCell ref="D13:F13"/>
    <mergeCell ref="B585:F585"/>
    <mergeCell ref="B923:F923"/>
    <mergeCell ref="B1093:F1093"/>
    <mergeCell ref="B791:F791"/>
    <mergeCell ref="B285:F285"/>
    <mergeCell ref="B301:F301"/>
    <mergeCell ref="B306:F306"/>
    <mergeCell ref="B811:F811"/>
    <mergeCell ref="B451:F451"/>
    <mergeCell ref="B792:F792"/>
    <mergeCell ref="B420:F420"/>
    <mergeCell ref="B419:F419"/>
    <mergeCell ref="B779:F779"/>
    <mergeCell ref="B1313:F1313"/>
    <mergeCell ref="B1317:F1317"/>
    <mergeCell ref="B1327:F1327"/>
    <mergeCell ref="B104:F104"/>
    <mergeCell ref="A6:F6"/>
    <mergeCell ref="A7:F7"/>
    <mergeCell ref="A8:F8"/>
    <mergeCell ref="A10:F10"/>
    <mergeCell ref="A1712:F1712"/>
    <mergeCell ref="C1713:F1713"/>
    <mergeCell ref="B1120:F1120"/>
    <mergeCell ref="B1165:F1165"/>
    <mergeCell ref="B282:F282"/>
    <mergeCell ref="B944:F944"/>
    <mergeCell ref="B403:F403"/>
    <mergeCell ref="B703:F703"/>
    <mergeCell ref="B716:F716"/>
    <mergeCell ref="B763:F763"/>
    <mergeCell ref="B377:F377"/>
    <mergeCell ref="B681:F681"/>
    <mergeCell ref="B1025:F1025"/>
    <mergeCell ref="B918:F918"/>
    <mergeCell ref="B85:F85"/>
    <mergeCell ref="B89:F89"/>
    <mergeCell ref="B92:F92"/>
    <mergeCell ref="B96:F96"/>
    <mergeCell ref="B888:F888"/>
    <mergeCell ref="B895:F895"/>
  </mergeCells>
  <pageMargins left="0.46" right="0.2" top="0.45" bottom="0.48" header="0.2" footer="0.3"/>
  <pageSetup paperSize="9" scale="74" orientation="portrait" verticalDpi="0" r:id="rId1"/>
  <headerFooter>
    <oddFooter>&amp;RTrang&amp;P</oddFooter>
  </headerFooter>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FPT</dc:creator>
  <cp:lastModifiedBy>Laptop</cp:lastModifiedBy>
  <cp:lastPrinted>2016-05-27T08:53:03Z</cp:lastPrinted>
  <dcterms:created xsi:type="dcterms:W3CDTF">2016-05-25T02:16:36Z</dcterms:created>
  <dcterms:modified xsi:type="dcterms:W3CDTF">2016-06-22T08:38:26Z</dcterms:modified>
</cp:coreProperties>
</file>